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slicers/slicer1.xml" ContentType="application/vnd.ms-excel.slicer+xml"/>
  <Override PartName="/xl/tables/table5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ocuments\"/>
    </mc:Choice>
  </mc:AlternateContent>
  <bookViews>
    <workbookView xWindow="0" yWindow="0" windowWidth="16395" windowHeight="5490" tabRatio="650"/>
  </bookViews>
  <sheets>
    <sheet name="Hoja1" sheetId="2" r:id="rId1"/>
    <sheet name="Hoja2" sheetId="3" r:id="rId2"/>
    <sheet name="Hoja3" sheetId="4" r:id="rId3"/>
  </sheets>
  <definedNames>
    <definedName name="SegmentaciónDeDatos_Lograron_detectar_todas_las_noticias_falsas?">#N/A</definedName>
    <definedName name="SegmentaciónDeDatos_Lograron_detectar_todas_las_noticias_falsas?1">#N/A</definedName>
    <definedName name="SegmentaciónDeDatos_Lograron_detectar_todas_las_noticias_falsas?2">#N/A</definedName>
    <definedName name="SegmentaciónDeDatos_Lograron_detectar_todas_las_noticias_falsas?3">#N/A</definedName>
    <definedName name="SegmentaciónDeDatos_posible_riesgo_de_caer_en_una_noticia_falsa">#N/A</definedName>
    <definedName name="SegmentaciónDeDatos_Posible_riesgo_de_caer_en_una_noticia_falsa1">#N/A</definedName>
    <definedName name="SegmentaciónDeDatos_posible_riesgo_de_caer_en_una_noticia_falsa2">#N/A</definedName>
    <definedName name="SegmentaciónDeDatos_posible_riesgo_de_caer_en_una_noticia_falsa3">#N/A</definedName>
  </definedNames>
  <calcPr calcId="162913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4"/>
        <x14:slicerCache r:id="rId5"/>
        <x14:slicerCache r:id="rId6"/>
        <x14:slicerCache r:id="rId7"/>
        <x14:slicerCache r:id="rId8"/>
        <x14:slicerCache r:id="rId9"/>
        <x14:slicerCache r:id="rId10"/>
        <x14:slicerCache r:id="rId11"/>
      </x15:slicerCaches>
    </ext>
  </extLst>
</workbook>
</file>

<file path=xl/calcChain.xml><?xml version="1.0" encoding="utf-8"?>
<calcChain xmlns="http://schemas.openxmlformats.org/spreadsheetml/2006/main">
  <c r="S93" i="2" l="1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AR96" i="2"/>
  <c r="AR97" i="2"/>
  <c r="AR98" i="2"/>
  <c r="AR99" i="2"/>
  <c r="AR100" i="2"/>
  <c r="AR101" i="2"/>
  <c r="AR102" i="2"/>
  <c r="AR103" i="2"/>
  <c r="AR104" i="2"/>
  <c r="AR105" i="2"/>
  <c r="AR106" i="2"/>
  <c r="AR107" i="2"/>
  <c r="AQ21" i="2"/>
  <c r="AQ22" i="2"/>
  <c r="AQ23" i="2"/>
  <c r="AQ24" i="2"/>
  <c r="AQ25" i="2"/>
  <c r="AQ26" i="2"/>
  <c r="AQ27" i="2"/>
  <c r="AQ28" i="2"/>
  <c r="AQ29" i="2"/>
  <c r="AQ30" i="2"/>
  <c r="AQ31" i="2"/>
  <c r="AQ32" i="2"/>
  <c r="AQ33" i="2"/>
  <c r="AQ34" i="2"/>
  <c r="AQ35" i="2"/>
  <c r="AQ36" i="2"/>
  <c r="AQ37" i="2"/>
  <c r="AQ38" i="2"/>
  <c r="AQ39" i="2"/>
  <c r="AQ40" i="2"/>
  <c r="AQ41" i="2"/>
  <c r="AQ42" i="2"/>
  <c r="AQ43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AP21" i="2" l="1"/>
  <c r="AQ96" i="2"/>
  <c r="AQ97" i="2"/>
  <c r="AQ98" i="2"/>
  <c r="AQ99" i="2"/>
  <c r="AQ100" i="2"/>
  <c r="AQ101" i="2"/>
  <c r="AQ102" i="2"/>
  <c r="AQ103" i="2"/>
  <c r="AQ104" i="2"/>
  <c r="AQ105" i="2"/>
  <c r="AQ106" i="2"/>
  <c r="AQ107" i="2"/>
  <c r="O80" i="2"/>
  <c r="T81" i="2"/>
  <c r="T80" i="2"/>
  <c r="U80" i="2"/>
  <c r="O81" i="2"/>
  <c r="P80" i="2"/>
  <c r="E83" i="2"/>
  <c r="E82" i="2"/>
  <c r="E81" i="2"/>
  <c r="E80" i="2"/>
  <c r="O77" i="2"/>
  <c r="O76" i="2"/>
  <c r="O75" i="2"/>
  <c r="J77" i="2"/>
  <c r="J76" i="2"/>
  <c r="J75" i="2"/>
  <c r="K75" i="2"/>
  <c r="E76" i="2"/>
  <c r="E75" i="2"/>
  <c r="P72" i="2"/>
  <c r="O72" i="2"/>
  <c r="O71" i="2"/>
  <c r="O70" i="2"/>
  <c r="O69" i="2"/>
  <c r="P69" i="2"/>
  <c r="J69" i="2"/>
  <c r="K71" i="2"/>
  <c r="K70" i="2"/>
  <c r="J71" i="2"/>
  <c r="J70" i="2"/>
  <c r="K69" i="2"/>
  <c r="O66" i="2"/>
  <c r="O65" i="2"/>
  <c r="P66" i="2"/>
  <c r="P65" i="2"/>
  <c r="P64" i="2"/>
  <c r="O64" i="2"/>
  <c r="J66" i="2"/>
  <c r="J65" i="2"/>
  <c r="K66" i="2"/>
  <c r="K65" i="2"/>
  <c r="F70" i="2"/>
  <c r="F69" i="2"/>
  <c r="F68" i="2"/>
  <c r="F67" i="2"/>
  <c r="F66" i="2"/>
  <c r="F65" i="2"/>
  <c r="F64" i="2"/>
  <c r="K64" i="2"/>
  <c r="J64" i="2"/>
  <c r="E70" i="2"/>
  <c r="E69" i="2"/>
  <c r="E68" i="2"/>
  <c r="E66" i="2"/>
  <c r="E65" i="2"/>
  <c r="E67" i="2"/>
  <c r="R21" i="2"/>
  <c r="AE68" i="2"/>
  <c r="AD68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J81" i="2"/>
  <c r="J80" i="2"/>
  <c r="K80" i="2"/>
  <c r="Q107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8" i="2"/>
  <c r="Q109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21" i="2"/>
  <c r="AE131" i="2" l="1"/>
  <c r="E132" i="2"/>
  <c r="F132" i="2"/>
  <c r="AF131" i="2"/>
  <c r="T1" i="2"/>
  <c r="C2" i="4"/>
  <c r="AP22" i="2" l="1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O65" i="2"/>
  <c r="AO64" i="2"/>
  <c r="AN64" i="2"/>
  <c r="AO63" i="2"/>
  <c r="AO62" i="2"/>
  <c r="AN62" i="2"/>
  <c r="AJ64" i="2"/>
  <c r="AJ63" i="2"/>
  <c r="AJ62" i="2"/>
  <c r="AI62" i="2"/>
  <c r="AE64" i="2"/>
  <c r="AE63" i="2"/>
  <c r="AE62" i="2"/>
  <c r="AD62" i="2"/>
  <c r="AO57" i="2"/>
  <c r="AO56" i="2"/>
  <c r="AN56" i="2"/>
  <c r="AJ59" i="2"/>
  <c r="AJ58" i="2"/>
  <c r="AJ57" i="2"/>
  <c r="AJ56" i="2"/>
  <c r="AI56" i="2"/>
  <c r="AE56" i="2"/>
  <c r="AE57" i="2"/>
  <c r="AE58" i="2"/>
  <c r="AD56" i="2"/>
  <c r="AN65" i="2"/>
  <c r="AN63" i="2"/>
  <c r="AI64" i="2"/>
  <c r="AI63" i="2"/>
  <c r="AD64" i="2"/>
  <c r="AD63" i="2"/>
  <c r="AN57" i="2"/>
  <c r="AI59" i="2"/>
  <c r="AI58" i="2"/>
  <c r="AI57" i="2"/>
  <c r="AD58" i="2"/>
  <c r="AD57" i="2"/>
  <c r="AO49" i="2"/>
  <c r="AO48" i="2"/>
  <c r="AO47" i="2"/>
  <c r="AN47" i="2"/>
  <c r="AN49" i="2"/>
  <c r="AN48" i="2"/>
  <c r="AJ50" i="2"/>
  <c r="AJ49" i="2"/>
  <c r="AJ48" i="2"/>
  <c r="AJ47" i="2"/>
  <c r="AI47" i="2"/>
  <c r="AI50" i="2"/>
  <c r="AI49" i="2"/>
  <c r="AI48" i="2"/>
  <c r="AE53" i="2"/>
  <c r="AE52" i="2"/>
  <c r="AE51" i="2"/>
  <c r="AE50" i="2"/>
  <c r="AE49" i="2"/>
  <c r="AE48" i="2"/>
  <c r="AE47" i="2"/>
  <c r="AD47" i="2"/>
  <c r="AD52" i="2"/>
  <c r="AD53" i="2"/>
  <c r="AD51" i="2"/>
  <c r="AD50" i="2"/>
  <c r="AD49" i="2"/>
  <c r="AD48" i="2"/>
  <c r="AP128" i="2"/>
  <c r="AP127" i="2"/>
  <c r="AP126" i="2"/>
  <c r="AP125" i="2"/>
  <c r="AO125" i="2"/>
  <c r="AJ68" i="2" l="1"/>
  <c r="AI69" i="2"/>
  <c r="AI68" i="2"/>
  <c r="AJ69" i="2"/>
  <c r="AI51" i="2"/>
  <c r="AK127" i="2"/>
  <c r="AK126" i="2"/>
  <c r="AK125" i="2"/>
  <c r="AF127" i="2"/>
  <c r="AF126" i="2"/>
  <c r="AF125" i="2"/>
  <c r="AE125" i="2"/>
  <c r="AP120" i="2"/>
  <c r="AP119" i="2"/>
  <c r="AO119" i="2"/>
  <c r="AK122" i="2"/>
  <c r="AK121" i="2"/>
  <c r="AK120" i="2"/>
  <c r="AK119" i="2"/>
  <c r="AJ119" i="2"/>
  <c r="AF121" i="2"/>
  <c r="AF120" i="2"/>
  <c r="AF119" i="2"/>
  <c r="AE119" i="2"/>
  <c r="AP112" i="2"/>
  <c r="AP111" i="2"/>
  <c r="AP110" i="2"/>
  <c r="AO110" i="2"/>
  <c r="AK113" i="2"/>
  <c r="AK112" i="2"/>
  <c r="AK111" i="2"/>
  <c r="AK110" i="2"/>
  <c r="AJ110" i="2"/>
  <c r="R93" i="2"/>
  <c r="AO128" i="2"/>
  <c r="AO127" i="2"/>
  <c r="AO126" i="2"/>
  <c r="AJ127" i="2"/>
  <c r="AJ126" i="2"/>
  <c r="AE127" i="2"/>
  <c r="AE126" i="2"/>
  <c r="AO120" i="2"/>
  <c r="AJ122" i="2"/>
  <c r="AJ121" i="2"/>
  <c r="AJ120" i="2"/>
  <c r="AE120" i="2"/>
  <c r="AE121" i="2"/>
  <c r="AO112" i="2"/>
  <c r="AO111" i="2"/>
  <c r="AJ113" i="2"/>
  <c r="AJ112" i="2"/>
  <c r="AJ111" i="2"/>
  <c r="AF116" i="2"/>
  <c r="AF115" i="2"/>
  <c r="AF114" i="2"/>
  <c r="AF113" i="2"/>
  <c r="AF112" i="2"/>
  <c r="AF111" i="2"/>
  <c r="AF110" i="2"/>
  <c r="AE110" i="2"/>
  <c r="AE116" i="2"/>
  <c r="AE115" i="2"/>
  <c r="AE114" i="2"/>
  <c r="AE112" i="2"/>
  <c r="AE111" i="2"/>
  <c r="E64" i="2"/>
  <c r="P129" i="2"/>
  <c r="O129" i="2"/>
  <c r="P128" i="2"/>
  <c r="P127" i="2"/>
  <c r="P126" i="2"/>
  <c r="O126" i="2"/>
  <c r="O128" i="2"/>
  <c r="O127" i="2"/>
  <c r="K128" i="2"/>
  <c r="K127" i="2"/>
  <c r="K126" i="2"/>
  <c r="J126" i="2"/>
  <c r="J128" i="2"/>
  <c r="J127" i="2"/>
  <c r="F128" i="2"/>
  <c r="E128" i="2"/>
  <c r="F127" i="2"/>
  <c r="E127" i="2"/>
  <c r="E126" i="2"/>
  <c r="F126" i="2"/>
  <c r="P121" i="2"/>
  <c r="P120" i="2"/>
  <c r="O120" i="2"/>
  <c r="O121" i="2"/>
  <c r="K123" i="2"/>
  <c r="K122" i="2"/>
  <c r="K121" i="2"/>
  <c r="J120" i="2"/>
  <c r="K120" i="2"/>
  <c r="J123" i="2"/>
  <c r="J122" i="2"/>
  <c r="J121" i="2"/>
  <c r="F121" i="2"/>
  <c r="F122" i="2"/>
  <c r="F120" i="2"/>
  <c r="E120" i="2"/>
  <c r="E122" i="2"/>
  <c r="E121" i="2"/>
  <c r="P113" i="2"/>
  <c r="P112" i="2"/>
  <c r="P111" i="2"/>
  <c r="O111" i="2"/>
  <c r="O113" i="2"/>
  <c r="O112" i="2"/>
  <c r="K114" i="2"/>
  <c r="K113" i="2"/>
  <c r="K112" i="2"/>
  <c r="J112" i="2"/>
  <c r="K111" i="2"/>
  <c r="J111" i="2"/>
  <c r="J114" i="2"/>
  <c r="J113" i="2"/>
  <c r="R5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2" i="2"/>
  <c r="R53" i="2"/>
  <c r="R54" i="2"/>
  <c r="R55" i="2"/>
  <c r="R56" i="2"/>
  <c r="R57" i="2"/>
  <c r="R58" i="2"/>
  <c r="R59" i="2"/>
  <c r="R60" i="2"/>
  <c r="E116" i="2"/>
  <c r="F116" i="2" s="1"/>
  <c r="E117" i="2"/>
  <c r="E115" i="2"/>
  <c r="E114" i="2"/>
  <c r="E113" i="2"/>
  <c r="E111" i="2"/>
  <c r="E112" i="2"/>
  <c r="F117" i="2"/>
  <c r="F115" i="2"/>
  <c r="F114" i="2"/>
  <c r="F113" i="2"/>
  <c r="F112" i="2"/>
  <c r="F111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F83" i="2"/>
  <c r="F82" i="2"/>
  <c r="F81" i="2"/>
  <c r="F80" i="2"/>
  <c r="P77" i="2"/>
  <c r="P76" i="2"/>
  <c r="P75" i="2"/>
  <c r="K77" i="2"/>
  <c r="K76" i="2"/>
  <c r="F75" i="2"/>
  <c r="F76" i="2"/>
  <c r="P70" i="2"/>
  <c r="P71" i="2"/>
  <c r="P133" i="2" l="1"/>
  <c r="J132" i="2"/>
  <c r="K132" i="2"/>
  <c r="P132" i="2"/>
  <c r="J115" i="2"/>
  <c r="AK131" i="2"/>
  <c r="AJ131" i="2"/>
  <c r="AK132" i="2"/>
  <c r="O132" i="2"/>
  <c r="O133" i="2"/>
  <c r="K133" i="2"/>
  <c r="AJ132" i="2"/>
  <c r="AJ133" i="2" s="1"/>
  <c r="J133" i="2"/>
  <c r="J134" i="2" s="1"/>
  <c r="AJ114" i="2"/>
  <c r="AE128" i="2"/>
  <c r="AO113" i="2"/>
  <c r="AJ123" i="2"/>
  <c r="AO121" i="2"/>
  <c r="AO129" i="2"/>
  <c r="AE122" i="2"/>
  <c r="E129" i="2"/>
  <c r="E123" i="2"/>
  <c r="O114" i="2"/>
  <c r="U81" i="2"/>
  <c r="J124" i="2"/>
  <c r="O122" i="2"/>
  <c r="O130" i="2"/>
  <c r="J129" i="2"/>
  <c r="AN58" i="2"/>
  <c r="O134" i="2" l="1"/>
  <c r="J67" i="2"/>
  <c r="AN66" i="2"/>
  <c r="AD65" i="2"/>
  <c r="AI60" i="2"/>
  <c r="AI70" i="2"/>
  <c r="O73" i="2"/>
  <c r="J72" i="2"/>
  <c r="O78" i="2"/>
  <c r="AN50" i="2"/>
  <c r="AD54" i="2"/>
  <c r="O67" i="2"/>
  <c r="J78" i="2"/>
  <c r="E77" i="2"/>
  <c r="E84" i="2" l="1"/>
  <c r="AE113" i="2"/>
  <c r="AE117" i="2" l="1"/>
  <c r="AI65" i="2" l="1"/>
  <c r="AD69" i="2" l="1"/>
  <c r="AE69" i="2"/>
  <c r="AF132" i="2"/>
  <c r="AE132" i="2"/>
  <c r="AJ125" i="2"/>
  <c r="AJ128" i="2" s="1"/>
  <c r="F133" i="2"/>
  <c r="E133" i="2"/>
  <c r="E118" i="2"/>
  <c r="AD70" i="2" l="1"/>
  <c r="AO68" i="2"/>
  <c r="AN69" i="2"/>
  <c r="AN68" i="2"/>
  <c r="AO69" i="2"/>
  <c r="P81" i="2"/>
  <c r="AP132" i="2"/>
  <c r="AP131" i="2"/>
  <c r="AO131" i="2"/>
  <c r="AO132" i="2"/>
  <c r="AE133" i="2"/>
  <c r="K81" i="2"/>
  <c r="E134" i="2"/>
  <c r="T82" i="2"/>
  <c r="AD59" i="2"/>
  <c r="E71" i="2"/>
  <c r="AN70" i="2" l="1"/>
  <c r="O82" i="2"/>
  <c r="AO133" i="2"/>
  <c r="J82" i="2"/>
  <c r="C5" i="4"/>
  <c r="C3" i="4"/>
  <c r="C4" i="4"/>
  <c r="C6" i="4"/>
  <c r="C7" i="4"/>
  <c r="C8" i="4"/>
  <c r="C9" i="4"/>
  <c r="C10" i="4" l="1"/>
  <c r="D5" i="4" s="1"/>
  <c r="D4" i="4" l="1"/>
  <c r="D3" i="4"/>
  <c r="D7" i="4"/>
  <c r="D8" i="4"/>
  <c r="D6" i="4"/>
  <c r="D2" i="4"/>
  <c r="D9" i="4"/>
  <c r="D10" i="4" l="1"/>
</calcChain>
</file>

<file path=xl/sharedStrings.xml><?xml version="1.0" encoding="utf-8"?>
<sst xmlns="http://schemas.openxmlformats.org/spreadsheetml/2006/main" count="1547" uniqueCount="105">
  <si>
    <t>¿Qué red social usás más para informarte?</t>
  </si>
  <si>
    <t xml:space="preserve">¿Con qué frecuencia te encontrás con fake news? </t>
  </si>
  <si>
    <t xml:space="preserve">¿Verificas si una noticia es verdadera antes de compartirla? </t>
  </si>
  <si>
    <t>¿Qué tanto confías  en la información que ves en redes sociales?</t>
  </si>
  <si>
    <t>¿Que tipo personas crees que son mas propensas a creer en las fake news?</t>
  </si>
  <si>
    <t xml:space="preserve"> ¿Te preocupa que la inteligencia artificial (IA) pueda crear contenido falso difícil de distinguir de lo real?</t>
  </si>
  <si>
    <t xml:space="preserve">¿Pensás que deberían regularse los contenidos generados por inteligencia artificial (IA) para evitar la desinformación? </t>
  </si>
  <si>
    <t>¿Alguna vez compartiste una noticia que luego descubriste que era falsa?</t>
  </si>
  <si>
    <t>Tiktok</t>
  </si>
  <si>
    <t>Frecuentemente</t>
  </si>
  <si>
    <t>A veces</t>
  </si>
  <si>
    <t>Poco</t>
  </si>
  <si>
    <t>Gente mayor</t>
  </si>
  <si>
    <t>Si</t>
  </si>
  <si>
    <t>No lo sé, no había pensado en ello</t>
  </si>
  <si>
    <t>Pensamiento crítico</t>
  </si>
  <si>
    <t>Sí, una vez</t>
  </si>
  <si>
    <t>Verdadera</t>
  </si>
  <si>
    <t>Falsa</t>
  </si>
  <si>
    <t>Youtube</t>
  </si>
  <si>
    <t>Siempre</t>
  </si>
  <si>
    <t>No, creo que es algo que no se puede evitar</t>
  </si>
  <si>
    <t>Saber identificar fuentes confiables</t>
  </si>
  <si>
    <t>Instagram</t>
  </si>
  <si>
    <t>Rara vez</t>
  </si>
  <si>
    <t>No</t>
  </si>
  <si>
    <t>Tener experiencia en las redes sociales para saber distinguirlas</t>
  </si>
  <si>
    <t>No, nunca</t>
  </si>
  <si>
    <t>Nada</t>
  </si>
  <si>
    <t>Ambos</t>
  </si>
  <si>
    <t>Si, creo que deberían reducirse</t>
  </si>
  <si>
    <t>X (ex Twitter)</t>
  </si>
  <si>
    <t>Mucho</t>
  </si>
  <si>
    <t>No lo sé / No lo recuerdo</t>
  </si>
  <si>
    <t>Facebook</t>
  </si>
  <si>
    <t>Jovenes</t>
  </si>
  <si>
    <t>Nunca</t>
  </si>
  <si>
    <t>Sí, más de una vez</t>
  </si>
  <si>
    <t>Tv</t>
  </si>
  <si>
    <t>Google</t>
  </si>
  <si>
    <t>Fuentes de informacion</t>
  </si>
  <si>
    <t>Edades especificas</t>
  </si>
  <si>
    <t xml:space="preserve">¿Que habilidad crees que es fundamental para evitar caer en las fake news? </t>
  </si>
  <si>
    <t>total</t>
  </si>
  <si>
    <t xml:space="preserve">encuestas </t>
  </si>
  <si>
    <t>edades</t>
  </si>
  <si>
    <t xml:space="preserve">instagram </t>
  </si>
  <si>
    <t>tiktok</t>
  </si>
  <si>
    <t>x</t>
  </si>
  <si>
    <t>frecuencia</t>
  </si>
  <si>
    <t>%</t>
  </si>
  <si>
    <t xml:space="preserve">radio </t>
  </si>
  <si>
    <t>respuestas</t>
  </si>
  <si>
    <t xml:space="preserve"> </t>
  </si>
  <si>
    <t xml:space="preserve">encuesta </t>
  </si>
  <si>
    <t>imagen 2</t>
  </si>
  <si>
    <t>imagen 3</t>
  </si>
  <si>
    <t>imagen 4</t>
  </si>
  <si>
    <t>identifica la noticia falsa Imagen 1</t>
  </si>
  <si>
    <t>Lograron detectar todas las noticias falsas?</t>
  </si>
  <si>
    <t>posible riesgo de caer en una noticia falsa</t>
  </si>
  <si>
    <t>Posible riesgo de caer en una noticia falsa</t>
  </si>
  <si>
    <t>Vulnerabilidad</t>
  </si>
  <si>
    <t>vulnerabilidad</t>
  </si>
  <si>
    <t>todas la redes</t>
  </si>
  <si>
    <t>Ninguno</t>
  </si>
  <si>
    <t>instagram</t>
  </si>
  <si>
    <t>X</t>
  </si>
  <si>
    <t xml:space="preserve">Youtube </t>
  </si>
  <si>
    <t>frencentemente</t>
  </si>
  <si>
    <t>a veces</t>
  </si>
  <si>
    <t xml:space="preserve">rara vez </t>
  </si>
  <si>
    <t xml:space="preserve">Siempre </t>
  </si>
  <si>
    <t xml:space="preserve">a veces </t>
  </si>
  <si>
    <t xml:space="preserve">nunca </t>
  </si>
  <si>
    <t>poco</t>
  </si>
  <si>
    <t>mucho</t>
  </si>
  <si>
    <t>nada</t>
  </si>
  <si>
    <t>todas las redes</t>
  </si>
  <si>
    <t>gente mayor</t>
  </si>
  <si>
    <t xml:space="preserve">ambos </t>
  </si>
  <si>
    <t xml:space="preserve">ninguno </t>
  </si>
  <si>
    <t xml:space="preserve">si </t>
  </si>
  <si>
    <t>no</t>
  </si>
  <si>
    <t>si, una vez</t>
  </si>
  <si>
    <t>Logro detectar las noticias falsas</t>
  </si>
  <si>
    <t>Fallo en algo al detectar</t>
  </si>
  <si>
    <t>Lograron detectar todas las noticias ya sean falsas o verdaderas?</t>
  </si>
  <si>
    <t>Riesgo alto</t>
  </si>
  <si>
    <t>Riesgo bajo</t>
  </si>
  <si>
    <t>Posiblemente sea vulnerable</t>
  </si>
  <si>
    <t>Puede que no sea vulnerable</t>
  </si>
  <si>
    <t>¿Te preocupa que la inteligencia artificial (IA) pueda crear contenido falso difícil de distinguir de lo real?</t>
  </si>
  <si>
    <t>Identifica la noticia falsa Imagen 1</t>
  </si>
  <si>
    <t>tv</t>
  </si>
  <si>
    <t xml:space="preserve">Jovenes </t>
  </si>
  <si>
    <t xml:space="preserve">jovenes </t>
  </si>
  <si>
    <t>JOVENES DE ENTRE 14 A 18 AÑOS</t>
  </si>
  <si>
    <t>JOVENES ADULTOS ENTRE 19 Y 30 AÑOS</t>
  </si>
  <si>
    <t>ADULTOS ENTRE 31 A 55 AÑOS</t>
  </si>
  <si>
    <t>ADULTOS MAYORES ENTRE 56 A 77 AÑOS</t>
  </si>
  <si>
    <t>radio</t>
  </si>
  <si>
    <t>Radio</t>
  </si>
  <si>
    <t xml:space="preserve">                  FAKE NEWS!!</t>
  </si>
  <si>
    <t>Logro detectar todas las noticias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</si>
</sst>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28"/>
      <color rgb="FF000000"/>
      <name val="Arial Black"/>
      <family val="2"/>
    </font>
    <font>
      <sz val="10"/>
      <color rgb="FF000000"/>
      <name val="Arial Black"/>
      <family val="2"/>
    </font>
    <font>
      <sz val="28"/>
      <color theme="1"/>
      <name val="Arial Black"/>
      <family val="2"/>
    </font>
    <font>
      <b/>
      <i/>
      <sz val="48"/>
      <color theme="9" tint="-0.249977111117893"/>
      <name val="Arial"/>
      <family val="2"/>
      <scheme val="minor"/>
    </font>
    <font>
      <sz val="14"/>
      <color rgb="FF000000"/>
      <name val="Arial"/>
      <family val="2"/>
      <scheme val="minor"/>
    </font>
    <font>
      <sz val="14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 Black"/>
      <family val="2"/>
    </font>
    <font>
      <b/>
      <sz val="36"/>
      <color theme="1"/>
      <name val="Arial Black"/>
      <family val="2"/>
    </font>
    <font>
      <sz val="36"/>
      <color theme="1"/>
      <name val="Arial Black"/>
      <family val="2"/>
    </font>
    <font>
      <sz val="18"/>
      <color rgb="FF000000"/>
      <name val="Arial"/>
      <family val="2"/>
      <scheme val="minor"/>
    </font>
    <font>
      <sz val="26"/>
      <color rgb="FF000000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FFFFFF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442F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F8F9FA"/>
      </left>
      <right style="thin">
        <color rgb="FFF8F9FA"/>
      </right>
      <top/>
      <bottom style="thin">
        <color rgb="FFF8F9FA"/>
      </bottom>
      <diagonal/>
    </border>
    <border>
      <left style="thin">
        <color rgb="FFF8F9FA"/>
      </left>
      <right/>
      <top style="thin">
        <color rgb="FFF8F9FA"/>
      </top>
      <bottom style="thin">
        <color rgb="FFF8F9FA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8F9FA"/>
      </left>
      <right/>
      <top style="thin">
        <color rgb="FFF8F9FA"/>
      </top>
      <bottom style="thin">
        <color rgb="FF442F65"/>
      </bottom>
      <diagonal/>
    </border>
    <border>
      <left style="thin">
        <color rgb="FFF8F9FA"/>
      </left>
      <right/>
      <top/>
      <bottom style="thin">
        <color rgb="FFF8F9FA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8F9FA"/>
      </left>
      <right style="thin">
        <color rgb="FFF8F9FA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8F9FA"/>
      </left>
      <right style="thin">
        <color rgb="FFF8F9FA"/>
      </right>
      <top style="thin">
        <color rgb="FFF8F9FA"/>
      </top>
      <bottom/>
      <diagonal/>
    </border>
    <border>
      <left style="thin">
        <color rgb="FFF8F9FA"/>
      </left>
      <right style="thin">
        <color rgb="FF442F65"/>
      </right>
      <top style="thin">
        <color rgb="FFF8F9FA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442F65"/>
      </right>
      <top/>
      <bottom style="thin">
        <color rgb="FFFFFFFF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7">
    <xf numFmtId="0" fontId="0" fillId="0" borderId="0" xfId="0" applyFont="1" applyAlignment="1"/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6" xfId="0" applyFont="1" applyBorder="1" applyAlignment="1"/>
    <xf numFmtId="0" fontId="0" fillId="0" borderId="0" xfId="0" applyFont="1" applyAlignment="1">
      <alignment vertical="top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vertical="center" wrapText="1"/>
    </xf>
    <xf numFmtId="0" fontId="1" fillId="3" borderId="6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3" fillId="0" borderId="6" xfId="0" applyFont="1" applyBorder="1" applyAlignment="1"/>
    <xf numFmtId="0" fontId="3" fillId="0" borderId="6" xfId="0" applyFont="1" applyFill="1" applyBorder="1" applyAlignment="1"/>
    <xf numFmtId="9" fontId="0" fillId="0" borderId="0" xfId="1" applyFont="1" applyAlignment="1"/>
    <xf numFmtId="9" fontId="0" fillId="0" borderId="6" xfId="1" applyFont="1" applyBorder="1" applyAlignment="1"/>
    <xf numFmtId="0" fontId="0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Font="1" applyAlignment="1">
      <alignment horizontal="center"/>
    </xf>
    <xf numFmtId="0" fontId="9" fillId="0" borderId="6" xfId="0" applyFont="1" applyBorder="1" applyAlignment="1">
      <alignment vertical="center"/>
    </xf>
    <xf numFmtId="0" fontId="9" fillId="11" borderId="6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vertical="center" wrapText="1"/>
    </xf>
    <xf numFmtId="0" fontId="9" fillId="0" borderId="16" xfId="0" applyFont="1" applyBorder="1" applyAlignment="1">
      <alignment vertical="center"/>
    </xf>
    <xf numFmtId="0" fontId="10" fillId="11" borderId="6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9" borderId="16" xfId="0" applyFont="1" applyFill="1" applyBorder="1" applyAlignment="1">
      <alignment vertical="center"/>
    </xf>
    <xf numFmtId="0" fontId="10" fillId="9" borderId="6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9" fillId="8" borderId="6" xfId="0" applyFont="1" applyFill="1" applyBorder="1" applyAlignment="1">
      <alignment vertical="center"/>
    </xf>
    <xf numFmtId="0" fontId="9" fillId="0" borderId="0" xfId="0" applyFont="1" applyAlignment="1">
      <alignment horizontal="left"/>
    </xf>
    <xf numFmtId="0" fontId="11" fillId="0" borderId="10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1" fillId="6" borderId="14" xfId="0" applyFont="1" applyFill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9" fillId="0" borderId="0" xfId="0" applyFont="1" applyAlignment="1"/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9" fillId="0" borderId="6" xfId="0" applyFont="1" applyBorder="1" applyAlignment="1"/>
    <xf numFmtId="0" fontId="11" fillId="3" borderId="3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 wrapText="1"/>
    </xf>
    <xf numFmtId="0" fontId="11" fillId="4" borderId="14" xfId="0" applyFont="1" applyFill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17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9" fillId="0" borderId="8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9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/>
    <xf numFmtId="0" fontId="11" fillId="0" borderId="12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0" fontId="11" fillId="0" borderId="13" xfId="0" applyFont="1" applyBorder="1" applyAlignment="1">
      <alignment vertical="center"/>
    </xf>
    <xf numFmtId="0" fontId="11" fillId="0" borderId="3" xfId="0" applyFont="1" applyBorder="1" applyAlignment="1">
      <alignment vertical="top" wrapText="1"/>
    </xf>
    <xf numFmtId="0" fontId="11" fillId="3" borderId="21" xfId="0" applyFont="1" applyFill="1" applyBorder="1" applyAlignment="1">
      <alignment vertical="center" wrapText="1"/>
    </xf>
    <xf numFmtId="0" fontId="11" fillId="3" borderId="22" xfId="0" applyFont="1" applyFill="1" applyBorder="1" applyAlignment="1">
      <alignment vertical="center" wrapText="1"/>
    </xf>
    <xf numFmtId="0" fontId="11" fillId="2" borderId="23" xfId="0" applyFont="1" applyFill="1" applyBorder="1" applyAlignment="1">
      <alignment vertical="center" wrapText="1"/>
    </xf>
    <xf numFmtId="0" fontId="11" fillId="2" borderId="24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1" fillId="2" borderId="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0" fontId="9" fillId="12" borderId="6" xfId="0" applyFont="1" applyFill="1" applyBorder="1" applyAlignment="1">
      <alignment vertical="center" wrapText="1"/>
    </xf>
    <xf numFmtId="0" fontId="9" fillId="12" borderId="6" xfId="0" applyFont="1" applyFill="1" applyBorder="1" applyAlignment="1">
      <alignment vertical="center"/>
    </xf>
    <xf numFmtId="0" fontId="9" fillId="12" borderId="16" xfId="0" applyFont="1" applyFill="1" applyBorder="1" applyAlignment="1">
      <alignment vertical="center"/>
    </xf>
    <xf numFmtId="0" fontId="9" fillId="0" borderId="16" xfId="0" applyFont="1" applyBorder="1" applyAlignment="1">
      <alignment vertical="center" wrapText="1"/>
    </xf>
    <xf numFmtId="0" fontId="10" fillId="12" borderId="6" xfId="0" applyFont="1" applyFill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9" fontId="9" fillId="0" borderId="0" xfId="1" applyFont="1" applyAlignment="1"/>
    <xf numFmtId="0" fontId="9" fillId="11" borderId="0" xfId="0" applyFont="1" applyFill="1" applyBorder="1" applyAlignment="1">
      <alignment vertical="center"/>
    </xf>
    <xf numFmtId="0" fontId="9" fillId="11" borderId="0" xfId="0" applyFont="1" applyFill="1" applyBorder="1" applyAlignment="1">
      <alignment vertical="center" wrapText="1"/>
    </xf>
    <xf numFmtId="0" fontId="9" fillId="12" borderId="15" xfId="0" applyFont="1" applyFill="1" applyBorder="1" applyAlignment="1">
      <alignment vertical="center"/>
    </xf>
    <xf numFmtId="0" fontId="10" fillId="11" borderId="0" xfId="0" applyFont="1" applyFill="1" applyBorder="1" applyAlignment="1">
      <alignment vertical="center"/>
    </xf>
    <xf numFmtId="0" fontId="9" fillId="11" borderId="0" xfId="0" applyFont="1" applyFill="1" applyBorder="1" applyAlignment="1"/>
    <xf numFmtId="0" fontId="9" fillId="11" borderId="0" xfId="0" applyFont="1" applyFill="1" applyBorder="1" applyAlignment="1">
      <alignment wrapText="1"/>
    </xf>
    <xf numFmtId="0" fontId="9" fillId="11" borderId="0" xfId="0" applyFont="1" applyFill="1" applyBorder="1" applyAlignment="1">
      <alignment vertical="top" wrapText="1"/>
    </xf>
    <xf numFmtId="0" fontId="0" fillId="11" borderId="0" xfId="0" applyFont="1" applyFill="1" applyBorder="1" applyAlignment="1"/>
    <xf numFmtId="0" fontId="0" fillId="11" borderId="0" xfId="0" applyFont="1" applyFill="1" applyBorder="1" applyAlignment="1">
      <alignment wrapText="1"/>
    </xf>
    <xf numFmtId="0" fontId="0" fillId="11" borderId="0" xfId="0" applyFont="1" applyFill="1" applyBorder="1" applyAlignment="1">
      <alignment vertical="top" wrapText="1"/>
    </xf>
    <xf numFmtId="0" fontId="0" fillId="11" borderId="0" xfId="0" applyFont="1" applyFill="1" applyBorder="1" applyAlignment="1">
      <alignment horizontal="left"/>
    </xf>
    <xf numFmtId="0" fontId="9" fillId="0" borderId="8" xfId="0" applyFont="1" applyBorder="1" applyAlignment="1">
      <alignment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9" xfId="0" applyFont="1" applyBorder="1" applyAlignment="1">
      <alignment vertical="top" wrapText="1"/>
    </xf>
    <xf numFmtId="0" fontId="9" fillId="0" borderId="8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11" borderId="8" xfId="0" applyFont="1" applyFill="1" applyBorder="1" applyAlignment="1">
      <alignment vertical="top" wrapText="1"/>
    </xf>
    <xf numFmtId="0" fontId="9" fillId="11" borderId="7" xfId="0" applyFont="1" applyFill="1" applyBorder="1" applyAlignment="1">
      <alignment horizontal="left" vertical="top" wrapText="1"/>
    </xf>
    <xf numFmtId="0" fontId="9" fillId="11" borderId="9" xfId="0" applyFont="1" applyFill="1" applyBorder="1" applyAlignment="1">
      <alignment vertical="top" wrapText="1"/>
    </xf>
    <xf numFmtId="0" fontId="9" fillId="11" borderId="8" xfId="0" applyFont="1" applyFill="1" applyBorder="1" applyAlignment="1">
      <alignment wrapText="1"/>
    </xf>
    <xf numFmtId="0" fontId="9" fillId="11" borderId="9" xfId="0" applyFont="1" applyFill="1" applyBorder="1" applyAlignment="1">
      <alignment wrapText="1"/>
    </xf>
    <xf numFmtId="0" fontId="9" fillId="11" borderId="15" xfId="0" applyFont="1" applyFill="1" applyBorder="1" applyAlignment="1">
      <alignment wrapText="1"/>
    </xf>
    <xf numFmtId="0" fontId="9" fillId="11" borderId="6" xfId="0" applyFont="1" applyFill="1" applyBorder="1" applyAlignment="1">
      <alignment wrapText="1"/>
    </xf>
    <xf numFmtId="0" fontId="11" fillId="0" borderId="1" xfId="0" applyFont="1" applyBorder="1" applyAlignment="1">
      <alignment horizontal="right" vertical="center" wrapText="1"/>
    </xf>
    <xf numFmtId="9" fontId="15" fillId="0" borderId="6" xfId="1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11" borderId="6" xfId="0" applyFont="1" applyFill="1" applyBorder="1" applyAlignment="1">
      <alignment vertical="center"/>
    </xf>
    <xf numFmtId="0" fontId="15" fillId="0" borderId="6" xfId="0" applyFont="1" applyBorder="1" applyAlignment="1">
      <alignment vertical="center" wrapText="1"/>
    </xf>
    <xf numFmtId="9" fontId="15" fillId="11" borderId="6" xfId="1" applyFont="1" applyFill="1" applyBorder="1" applyAlignment="1">
      <alignment vertical="center" wrapText="1"/>
    </xf>
    <xf numFmtId="9" fontId="15" fillId="11" borderId="6" xfId="1" applyFont="1" applyFill="1" applyBorder="1" applyAlignment="1">
      <alignment vertical="center"/>
    </xf>
    <xf numFmtId="0" fontId="15" fillId="0" borderId="15" xfId="0" applyFont="1" applyBorder="1" applyAlignment="1">
      <alignment vertical="center"/>
    </xf>
    <xf numFmtId="9" fontId="15" fillId="0" borderId="6" xfId="1" applyFont="1" applyBorder="1" applyAlignment="1">
      <alignment vertical="center" wrapText="1"/>
    </xf>
    <xf numFmtId="9" fontId="15" fillId="0" borderId="6" xfId="1" applyFont="1" applyBorder="1" applyAlignment="1"/>
    <xf numFmtId="0" fontId="8" fillId="0" borderId="0" xfId="0" applyFont="1" applyAlignment="1">
      <alignment horizontal="center" wrapText="1"/>
    </xf>
    <xf numFmtId="9" fontId="15" fillId="11" borderId="6" xfId="1" applyFont="1" applyFill="1" applyBorder="1" applyAlignment="1"/>
    <xf numFmtId="9" fontId="15" fillId="11" borderId="6" xfId="1" applyFont="1" applyFill="1" applyBorder="1" applyAlignment="1">
      <alignment horizontal="right"/>
    </xf>
    <xf numFmtId="0" fontId="4" fillId="13" borderId="6" xfId="0" applyFont="1" applyFill="1" applyBorder="1" applyAlignment="1"/>
    <xf numFmtId="9" fontId="4" fillId="13" borderId="6" xfId="1" applyFont="1" applyFill="1" applyBorder="1" applyAlignment="1"/>
    <xf numFmtId="0" fontId="3" fillId="13" borderId="6" xfId="0" applyFont="1" applyFill="1" applyBorder="1" applyAlignment="1"/>
    <xf numFmtId="0" fontId="0" fillId="13" borderId="6" xfId="0" applyFont="1" applyFill="1" applyBorder="1" applyAlignment="1"/>
    <xf numFmtId="9" fontId="0" fillId="13" borderId="6" xfId="1" applyFont="1" applyFill="1" applyBorder="1" applyAlignment="1"/>
    <xf numFmtId="0" fontId="9" fillId="10" borderId="6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12" borderId="15" xfId="0" applyFont="1" applyFill="1" applyBorder="1" applyAlignment="1">
      <alignment horizontal="center" vertical="center"/>
    </xf>
    <xf numFmtId="0" fontId="9" fillId="12" borderId="16" xfId="0" applyFont="1" applyFill="1" applyBorder="1" applyAlignment="1">
      <alignment horizontal="center" vertical="center"/>
    </xf>
    <xf numFmtId="0" fontId="9" fillId="12" borderId="15" xfId="0" applyFont="1" applyFill="1" applyBorder="1" applyAlignment="1">
      <alignment horizontal="center" vertical="center" wrapText="1"/>
    </xf>
    <xf numFmtId="0" fontId="9" fillId="12" borderId="16" xfId="0" applyFont="1" applyFill="1" applyBorder="1" applyAlignment="1">
      <alignment horizontal="center" vertical="center" wrapText="1"/>
    </xf>
    <xf numFmtId="0" fontId="9" fillId="10" borderId="18" xfId="0" applyFont="1" applyFill="1" applyBorder="1" applyAlignment="1">
      <alignment horizontal="center" vertical="center" wrapText="1"/>
    </xf>
    <xf numFmtId="0" fontId="9" fillId="10" borderId="20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9" fillId="11" borderId="0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9" fillId="9" borderId="16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14" fontId="16" fillId="5" borderId="0" xfId="0" applyNumberFormat="1" applyFont="1" applyFill="1" applyAlignment="1">
      <alignment horizontal="center"/>
    </xf>
    <xf numFmtId="0" fontId="8" fillId="0" borderId="0" xfId="0" applyFont="1" applyAlignment="1">
      <alignment horizontal="center" wrapText="1"/>
    </xf>
    <xf numFmtId="0" fontId="5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" fillId="8" borderId="15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1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rgb="FFF8F9FA"/>
        </left>
        <right style="thin">
          <color rgb="FFF8F9FA"/>
        </right>
        <top style="thin">
          <color rgb="FFF8F9FA"/>
        </top>
        <bottom style="thin">
          <color rgb="FFF8F9FA"/>
        </bottom>
        <vertical/>
        <horizontal/>
      </border>
    </dxf>
    <dxf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inor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F8F9FA"/>
        </left>
        <right/>
        <top/>
        <bottom style="thin">
          <color rgb="FFF8F9FA"/>
        </bottom>
      </border>
    </dxf>
    <dxf>
      <font>
        <strike val="0"/>
        <outline val="0"/>
        <shadow val="0"/>
        <u val="none"/>
        <vertAlign val="baseline"/>
        <sz val="14"/>
      </font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 outline="0">
        <left style="thin">
          <color rgb="FFF8F9FA"/>
        </left>
        <right style="thin">
          <color rgb="FFF8F9FA"/>
        </right>
        <top style="thin">
          <color rgb="FFF8F9FA"/>
        </top>
        <bottom style="thin">
          <color rgb="FFF8F9F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fill>
        <patternFill patternType="solid">
          <fgColor rgb="FFFFFFFF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442F65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fill>
        <patternFill patternType="solid">
          <fgColor rgb="FFFFFFFF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fill>
        <patternFill patternType="solid">
          <fgColor rgb="FFFFFFFF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fill>
        <patternFill patternType="solid">
          <fgColor rgb="FFFFFFFF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fill>
        <patternFill patternType="solid">
          <fgColor rgb="FFFFFFFF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fill>
        <patternFill patternType="solid">
          <fgColor rgb="FFFFFFFF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fill>
        <patternFill patternType="solid">
          <fgColor rgb="FFFFFFFF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fill>
        <patternFill patternType="solid">
          <fgColor rgb="FFFFFFFF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fill>
        <patternFill patternType="solid">
          <fgColor rgb="FFFFFFFF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fill>
        <patternFill patternType="solid">
          <fgColor rgb="FFFFFFFF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fill>
        <patternFill patternType="solid">
          <fgColor rgb="FFFFFFFF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fill>
        <patternFill patternType="solid">
          <fgColor rgb="FFFFFFFF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fill>
        <patternFill patternType="solid">
          <fgColor rgb="FFFFFFFF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fill>
        <patternFill patternType="solid">
          <fgColor rgb="FFFFFFFF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F8F9FA"/>
        </left>
        <right style="thin">
          <color rgb="FFF8F9FA"/>
        </right>
        <top style="thin">
          <color rgb="FFF8F9FA"/>
        </top>
        <bottom style="thin">
          <color rgb="FFF8F9FA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rgb="FFF8F9FA"/>
        </left>
        <right style="thin">
          <color rgb="FFF8F9FA"/>
        </right>
        <top style="thin">
          <color rgb="FFF8F9FA"/>
        </top>
        <bottom style="thin">
          <color rgb="FFF8F9F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rgb="FFF8F9FA"/>
        </left>
        <right style="thin">
          <color rgb="FF442F65"/>
        </right>
        <top style="thin">
          <color rgb="FFF8F9FA"/>
        </top>
        <bottom style="thin">
          <color rgb="FFF8F9F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rgb="FFF8F9FA"/>
        </left>
        <right style="thin">
          <color rgb="FFF8F9FA"/>
        </right>
        <top style="thin">
          <color rgb="FFF8F9FA"/>
        </top>
        <bottom style="thin">
          <color rgb="FFF8F9F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rgb="FFF8F9FA"/>
        </left>
        <right style="thin">
          <color rgb="FFF8F9FA"/>
        </right>
        <top style="thin">
          <color rgb="FFF8F9FA"/>
        </top>
        <bottom style="thin">
          <color rgb="FFF8F9F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rgb="FFF8F9FA"/>
        </left>
        <right style="thin">
          <color rgb="FFF8F9FA"/>
        </right>
        <top style="thin">
          <color rgb="FFF8F9FA"/>
        </top>
        <bottom style="thin">
          <color rgb="FFF8F9F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rgb="FFF8F9FA"/>
        </left>
        <right style="thin">
          <color rgb="FFF8F9FA"/>
        </right>
        <top style="thin">
          <color rgb="FFF8F9FA"/>
        </top>
        <bottom style="thin">
          <color rgb="FFF8F9F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rgb="FFF8F9FA"/>
        </left>
        <right style="thin">
          <color rgb="FFF8F9FA"/>
        </right>
        <top style="thin">
          <color rgb="FFF8F9FA"/>
        </top>
        <bottom style="thin">
          <color rgb="FFF8F9F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rgb="FFF8F9FA"/>
        </left>
        <right style="thin">
          <color rgb="FFF8F9FA"/>
        </right>
        <top style="thin">
          <color rgb="FFF8F9FA"/>
        </top>
        <bottom style="thin">
          <color rgb="FFF8F9F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rgb="FFF8F9FA"/>
        </left>
        <right style="thin">
          <color rgb="FFF8F9FA"/>
        </right>
        <top style="thin">
          <color rgb="FFF8F9FA"/>
        </top>
        <bottom style="thin">
          <color rgb="FFF8F9F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rgb="FFF8F9FA"/>
        </left>
        <right style="thin">
          <color rgb="FFF8F9FA"/>
        </right>
        <top style="thin">
          <color rgb="FFF8F9FA"/>
        </top>
        <bottom style="thin">
          <color rgb="FFF8F9F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rgb="FFF8F9FA"/>
        </left>
        <right style="thin">
          <color rgb="FFF8F9FA"/>
        </right>
        <top style="thin">
          <color rgb="FFF8F9FA"/>
        </top>
        <bottom style="thin">
          <color rgb="FFF8F9F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rgb="FFF8F9FA"/>
        </left>
        <right style="thin">
          <color rgb="FFF8F9FA"/>
        </right>
        <top style="thin">
          <color rgb="FFF8F9FA"/>
        </top>
        <bottom style="thin">
          <color rgb="FFF8F9F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rgb="FFF8F9FA"/>
        </left>
        <right style="thin">
          <color rgb="FFF8F9FA"/>
        </right>
        <top style="thin">
          <color rgb="FFF8F9FA"/>
        </top>
        <bottom style="thin">
          <color rgb="FFF8F9F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rgb="FFF8F9FA"/>
        </left>
        <right style="thin">
          <color rgb="FFF8F9FA"/>
        </right>
        <top style="thin">
          <color rgb="FFF8F9FA"/>
        </top>
        <bottom style="thin">
          <color rgb="FFF8F9F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rgb="FFF8F9FA"/>
        </left>
        <right style="thin">
          <color rgb="FFF8F9FA"/>
        </right>
        <top style="thin">
          <color rgb="FFF8F9FA"/>
        </top>
        <bottom style="thin">
          <color rgb="FFF8F9FA"/>
        </bottom>
      </border>
    </dxf>
    <dxf>
      <font>
        <strike val="0"/>
        <outline val="0"/>
        <shadow val="0"/>
        <u val="none"/>
        <vertAlign val="baseline"/>
        <sz val="14"/>
      </font>
      <alignment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FA71"/>
        </patternFill>
      </fill>
    </dxf>
    <dxf>
      <fill>
        <patternFill>
          <bgColor rgb="FFEA473A"/>
        </patternFill>
      </fill>
    </dxf>
    <dxf>
      <fill>
        <patternFill>
          <bgColor rgb="FF00B050"/>
        </patternFill>
      </fill>
    </dxf>
    <dxf>
      <fill>
        <patternFill>
          <bgColor rgb="FF00FA71"/>
        </patternFill>
      </fill>
    </dxf>
    <dxf>
      <fill>
        <patternFill>
          <bgColor rgb="FFEA473A"/>
        </patternFill>
      </fill>
    </dxf>
    <dxf>
      <fill>
        <patternFill>
          <bgColor rgb="FF00B050"/>
        </patternFill>
      </fill>
    </dxf>
    <dxf>
      <fill>
        <patternFill>
          <bgColor rgb="FF00FA71"/>
        </patternFill>
      </fill>
    </dxf>
    <dxf>
      <fill>
        <patternFill>
          <bgColor rgb="FFEA473A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FA71"/>
        </patternFill>
      </fill>
    </dxf>
    <dxf>
      <fill>
        <patternFill>
          <bgColor rgb="FFEA473A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2">
    <tableStyle name="Estilo de tabla 1" pivot="0" count="0"/>
    <tableStyle name="Respuestas de formulario 1-style" pivot="0" count="3">
      <tableStyleElement type="headerRow" dxfId="121"/>
      <tableStyleElement type="firstRowStripe" dxfId="120"/>
      <tableStyleElement type="secondRowStripe" dxfId="119"/>
    </tableStyle>
  </tableStyles>
  <colors>
    <mruColors>
      <color rgb="FF2AB040"/>
      <color rgb="FFCCFFFF"/>
      <color rgb="FFEA473A"/>
      <color rgb="FF00FA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microsoft.com/office/2007/relationships/slicerCache" Target="slicerCaches/slicerCache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microsoft.com/office/2007/relationships/slicerCache" Target="slicerCaches/slicerCache8.xml"/><Relationship Id="rId5" Type="http://schemas.microsoft.com/office/2007/relationships/slicerCache" Target="slicerCaches/slicerCache2.xml"/><Relationship Id="rId15" Type="http://schemas.openxmlformats.org/officeDocument/2006/relationships/calcChain" Target="calcChain.xml"/><Relationship Id="rId10" Type="http://schemas.microsoft.com/office/2007/relationships/slicerCache" Target="slicerCaches/slicerCache7.xml"/><Relationship Id="rId4" Type="http://schemas.microsoft.com/office/2007/relationships/slicerCache" Target="slicerCaches/slicerCache1.xml"/><Relationship Id="rId9" Type="http://schemas.microsoft.com/office/2007/relationships/slicerCache" Target="slicerCaches/slicerCache6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Hoja3!$A$2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Hoja3!$B$1:$D$1</c15:sqref>
                  </c15:fullRef>
                </c:ext>
              </c:extLst>
              <c:f>Hoja3!$D$1</c:f>
              <c:strCache>
                <c:ptCount val="1"/>
                <c:pt idx="0">
                  <c:v>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Hoja3!$B$2:$D$2</c15:sqref>
                  </c15:fullRef>
                </c:ext>
              </c:extLst>
              <c:f>Hoja3!$D$2</c:f>
              <c:numCache>
                <c:formatCode>General</c:formatCode>
                <c:ptCount val="1"/>
                <c:pt idx="0" formatCode="0%">
                  <c:v>6.6666666666666666E-2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D25-94B3-92EC5355031D}"/>
            </c:ext>
          </c:extLst>
        </c:ser>
        <c:ser>
          <c:idx val="3"/>
          <c:order val="3"/>
          <c:tx>
            <c:strRef>
              <c:f>Hoja3!$A$5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4">
                <a:alpha val="88000"/>
              </a:schemeClr>
            </a:solidFill>
            <a:ln>
              <a:solidFill>
                <a:schemeClr val="accent4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4">
                  <a:lumMod val="50000"/>
                </a:schemeClr>
              </a:contourClr>
            </a:sp3d>
          </c:spPr>
          <c:invertIfNegative val="0"/>
          <c:dLbls>
            <c:spPr>
              <a:solidFill>
                <a:srgbClr val="34A853">
                  <a:alpha val="30000"/>
                </a:srgbClr>
              </a:solidFill>
              <a:ln>
                <a:solidFill>
                  <a:srgbClr val="FFFFFF">
                    <a:alpha val="50000"/>
                  </a:srgb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Hoja3!$B$1:$D$1</c15:sqref>
                  </c15:fullRef>
                </c:ext>
              </c:extLst>
              <c:f>Hoja3!$D$1</c:f>
              <c:strCache>
                <c:ptCount val="1"/>
                <c:pt idx="0">
                  <c:v>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Hoja3!$B$5:$D$5</c15:sqref>
                  </c15:fullRef>
                </c:ext>
              </c:extLst>
              <c:f>Hoja3!$D$5</c:f>
              <c:numCache>
                <c:formatCode>General</c:formatCode>
                <c:ptCount val="1"/>
                <c:pt idx="0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EA-4D25-94B3-92EC5355031D}"/>
            </c:ext>
          </c:extLst>
        </c:ser>
        <c:ser>
          <c:idx val="4"/>
          <c:order val="4"/>
          <c:tx>
            <c:strRef>
              <c:f>Hoja3!$A$6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5">
                <a:alpha val="88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5">
                  <a:lumMod val="50000"/>
                </a:schemeClr>
              </a:contourClr>
            </a:sp3d>
          </c:spPr>
          <c:invertIfNegative val="0"/>
          <c:dLbls>
            <c:spPr>
              <a:solidFill>
                <a:srgbClr val="FF6D01">
                  <a:alpha val="30000"/>
                </a:srgbClr>
              </a:solidFill>
              <a:ln>
                <a:solidFill>
                  <a:srgbClr val="FFFFFF">
                    <a:alpha val="50000"/>
                  </a:srgb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Hoja3!$B$1:$D$1</c15:sqref>
                  </c15:fullRef>
                </c:ext>
              </c:extLst>
              <c:f>Hoja3!$D$1</c:f>
              <c:strCache>
                <c:ptCount val="1"/>
                <c:pt idx="0">
                  <c:v>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Hoja3!$B$6:$D$6</c15:sqref>
                  </c15:fullRef>
                </c:ext>
              </c:extLst>
              <c:f>Hoja3!$D$6</c:f>
              <c:numCache>
                <c:formatCode>General</c:formatCode>
                <c:ptCount val="1"/>
                <c:pt idx="0" formatCode="0%">
                  <c:v>6.6666666666666666E-2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EA-4D25-94B3-92EC5355031D}"/>
            </c:ext>
          </c:extLst>
        </c:ser>
        <c:ser>
          <c:idx val="5"/>
          <c:order val="5"/>
          <c:tx>
            <c:strRef>
              <c:f>Hoja3!$A$7</c:f>
              <c:strCache>
                <c:ptCount val="1"/>
                <c:pt idx="0">
                  <c:v>6</c:v>
                </c:pt>
              </c:strCache>
            </c:strRef>
          </c:tx>
          <c:spPr>
            <a:solidFill>
              <a:schemeClr val="accent6">
                <a:alpha val="88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6">
                  <a:lumMod val="50000"/>
                </a:schemeClr>
              </a:contourClr>
            </a:sp3d>
          </c:spPr>
          <c:invertIfNegative val="0"/>
          <c:dLbls>
            <c:spPr>
              <a:solidFill>
                <a:srgbClr val="46BDC6">
                  <a:alpha val="30000"/>
                </a:srgbClr>
              </a:solidFill>
              <a:ln>
                <a:solidFill>
                  <a:srgbClr val="FFFFFF">
                    <a:alpha val="50000"/>
                  </a:srgb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Hoja3!$B$1:$D$1</c15:sqref>
                  </c15:fullRef>
                </c:ext>
              </c:extLst>
              <c:f>Hoja3!$D$1</c:f>
              <c:strCache>
                <c:ptCount val="1"/>
                <c:pt idx="0">
                  <c:v>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Hoja3!$B$7:$D$7</c15:sqref>
                  </c15:fullRef>
                </c:ext>
              </c:extLst>
              <c:f>Hoja3!$D$7</c:f>
              <c:numCache>
                <c:formatCode>General</c:formatCode>
                <c:ptCount val="1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EA-4D25-94B3-92EC5355031D}"/>
            </c:ext>
          </c:extLst>
        </c:ser>
        <c:ser>
          <c:idx val="6"/>
          <c:order val="6"/>
          <c:tx>
            <c:strRef>
              <c:f>Hoja3!$A$8</c:f>
              <c:strCache>
                <c:ptCount val="1"/>
                <c:pt idx="0">
                  <c:v>7</c:v>
                </c:pt>
              </c:strCache>
            </c:strRef>
          </c:tx>
          <c:spPr>
            <a:solidFill>
              <a:schemeClr val="accent1">
                <a:lumMod val="60000"/>
                <a:alpha val="88000"/>
              </a:schemeClr>
            </a:solidFill>
            <a:ln>
              <a:solidFill>
                <a:schemeClr val="accent1">
                  <a:lumMod val="6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60000"/>
                  <a:lumMod val="50000"/>
                </a:schemeClr>
              </a:contourClr>
            </a:sp3d>
          </c:spPr>
          <c:invertIfNegative val="0"/>
          <c:dLbls>
            <c:spPr>
              <a:solidFill>
                <a:srgbClr val="4285F4">
                  <a:lumMod val="60000"/>
                  <a:alpha val="30000"/>
                </a:srgbClr>
              </a:solidFill>
              <a:ln>
                <a:solidFill>
                  <a:srgbClr val="FFFFFF">
                    <a:alpha val="50000"/>
                  </a:srgb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Hoja3!$B$1:$D$1</c15:sqref>
                  </c15:fullRef>
                </c:ext>
              </c:extLst>
              <c:f>Hoja3!$D$1</c:f>
              <c:strCache>
                <c:ptCount val="1"/>
                <c:pt idx="0">
                  <c:v>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Hoja3!$B$8:$D$8</c15:sqref>
                  </c15:fullRef>
                </c:ext>
              </c:extLst>
              <c:f>Hoja3!$D$8</c:f>
              <c:numCache>
                <c:formatCode>General</c:formatCode>
                <c:ptCount val="1"/>
                <c:pt idx="0" formatCode="0%">
                  <c:v>0.13333333333333333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EA-4D25-94B3-92EC5355031D}"/>
            </c:ext>
          </c:extLst>
        </c:ser>
        <c:ser>
          <c:idx val="7"/>
          <c:order val="7"/>
          <c:tx>
            <c:strRef>
              <c:f>Hoja3!$A$9</c:f>
              <c:strCache>
                <c:ptCount val="1"/>
                <c:pt idx="0">
                  <c:v>8</c:v>
                </c:pt>
              </c:strCache>
            </c:strRef>
          </c:tx>
          <c:spPr>
            <a:solidFill>
              <a:schemeClr val="accent2">
                <a:lumMod val="60000"/>
                <a:alpha val="88000"/>
              </a:schemeClr>
            </a:solidFill>
            <a:ln>
              <a:solidFill>
                <a:schemeClr val="accent2">
                  <a:lumMod val="6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60000"/>
                  <a:lumMod val="50000"/>
                </a:schemeClr>
              </a:contourClr>
            </a:sp3d>
          </c:spPr>
          <c:invertIfNegative val="0"/>
          <c:dLbls>
            <c:spPr>
              <a:solidFill>
                <a:srgbClr val="EA4335">
                  <a:lumMod val="60000"/>
                  <a:alpha val="30000"/>
                </a:srgbClr>
              </a:solidFill>
              <a:ln>
                <a:solidFill>
                  <a:srgbClr val="FFFFFF">
                    <a:alpha val="50000"/>
                  </a:srgb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Hoja3!$B$1:$D$1</c15:sqref>
                  </c15:fullRef>
                </c:ext>
              </c:extLst>
              <c:f>Hoja3!$D$1</c:f>
              <c:strCache>
                <c:ptCount val="1"/>
                <c:pt idx="0">
                  <c:v>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Hoja3!$B$9:$D$9</c15:sqref>
                  </c15:fullRef>
                </c:ext>
              </c:extLst>
              <c:f>Hoja3!$D$9</c:f>
              <c:numCache>
                <c:formatCode>General</c:formatCode>
                <c:ptCount val="1"/>
                <c:pt idx="0" formatCode="0%">
                  <c:v>3.3333333333333333E-2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8EA-4D25-94B3-92EC5355031D}"/>
            </c:ext>
          </c:extLst>
        </c:ser>
        <c:ser>
          <c:idx val="1"/>
          <c:order val="1"/>
          <c:tx>
            <c:strRef>
              <c:f>Hoja3!$A$3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2">
                <a:alpha val="88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2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Hoja3!$B$1:$D$1</c15:sqref>
                  </c15:fullRef>
                </c:ext>
              </c:extLst>
              <c:f>Hoja3!$D$1</c:f>
              <c:strCache>
                <c:ptCount val="1"/>
                <c:pt idx="0">
                  <c:v>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Hoja3!$B$3:$D$3</c15:sqref>
                  </c15:fullRef>
                </c:ext>
              </c:extLst>
              <c:f>Hoja3!$D$3</c:f>
              <c:numCache>
                <c:formatCode>General</c:formatCode>
                <c:ptCount val="1"/>
                <c:pt idx="0" formatCode="0%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EA-4D25-94B3-92EC5355031D}"/>
            </c:ext>
          </c:extLst>
        </c:ser>
        <c:ser>
          <c:idx val="2"/>
          <c:order val="2"/>
          <c:tx>
            <c:strRef>
              <c:f>Hoja3!$A$4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3">
                <a:alpha val="88000"/>
              </a:schemeClr>
            </a:solidFill>
            <a:ln>
              <a:solidFill>
                <a:schemeClr val="accent3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3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3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Hoja3!$B$1:$D$1</c15:sqref>
                  </c15:fullRef>
                </c:ext>
              </c:extLst>
              <c:f>Hoja3!$D$1</c:f>
              <c:strCache>
                <c:ptCount val="1"/>
                <c:pt idx="0">
                  <c:v>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Hoja3!$B$4:$D$4</c15:sqref>
                  </c15:fullRef>
                </c:ext>
              </c:extLst>
              <c:f>Hoja3!$D$4</c:f>
              <c:numCache>
                <c:formatCode>General</c:formatCode>
                <c:ptCount val="1"/>
                <c:pt idx="0" formatCode="0%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EA-4D25-94B3-92EC535503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1627936191"/>
        <c:axId val="1627937439"/>
        <c:axId val="0"/>
        <c:extLst>
          <c:ext xmlns:c15="http://schemas.microsoft.com/office/drawing/2012/chart" uri="{02D57815-91ED-43cb-92C2-25804820EDAC}">
            <c15:filteredBar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Hoja3!$A$10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  <a:alpha val="88000"/>
                    </a:schemeClr>
                  </a:solidFill>
                  <a:ln>
                    <a:solidFill>
                      <a:schemeClr val="accent3">
                        <a:lumMod val="60000"/>
                        <a:lumMod val="50000"/>
                      </a:schemeClr>
                    </a:solidFill>
                  </a:ln>
                  <a:effectLst/>
                  <a:scene3d>
                    <a:camera prst="orthographicFront"/>
                    <a:lightRig rig="threePt" dir="t"/>
                  </a:scene3d>
                  <a:sp3d prstMaterial="flat">
                    <a:contourClr>
                      <a:schemeClr val="accent3">
                        <a:lumMod val="60000"/>
                        <a:lumMod val="50000"/>
                      </a:schemeClr>
                    </a:contourClr>
                  </a:sp3d>
                </c:spPr>
                <c:invertIfNegative val="0"/>
                <c:dLbls>
                  <c:spPr>
                    <a:solidFill>
                      <a:srgbClr val="FBBC04">
                        <a:lumMod val="60000"/>
                        <a:alpha val="30000"/>
                      </a:srgbClr>
                    </a:solidFill>
                    <a:ln>
                      <a:solidFill>
                        <a:srgbClr val="FFFFFF">
                          <a:alpha val="50000"/>
                        </a:srgbClr>
                      </a:solidFill>
                      <a:round/>
                    </a:ln>
                    <a:effectLst>
                      <a:outerShdw blurRad="63500" dist="889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50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Hoja3!$B$1:$D$1</c15:sqref>
                        </c15:fullRef>
                        <c15:formulaRef>
                          <c15:sqref>Hoja3!$D$1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Hoja3!$B$10:$D$10</c15:sqref>
                        </c15:fullRef>
                        <c15:formulaRef>
                          <c15:sqref>Hoja3!$D$10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 formatCode="0%">
                        <c:v>0.99999999999999989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B8EA-4D25-94B3-92EC5355031D}"/>
                  </c:ext>
                </c:extLst>
              </c15:ser>
            </c15:filteredBarSeries>
          </c:ext>
        </c:extLst>
      </c:bar3DChart>
      <c:catAx>
        <c:axId val="1627936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937439"/>
        <c:crosses val="autoZero"/>
        <c:auto val="1"/>
        <c:lblAlgn val="ctr"/>
        <c:lblOffset val="100"/>
        <c:noMultiLvlLbl val="0"/>
      </c:catAx>
      <c:valAx>
        <c:axId val="1627937439"/>
        <c:scaling>
          <c:orientation val="minMax"/>
        </c:scaling>
        <c:delete val="1"/>
        <c:axPos val="l"/>
        <c:majorGridlines>
          <c:spPr>
            <a:ln w="9525">
              <a:solidFill>
                <a:schemeClr val="lt1">
                  <a:lumMod val="50000"/>
                </a:schemeClr>
              </a:solidFill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627936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2051801907995031"/>
          <c:y val="6.8595927116827438E-2"/>
          <c:w val="0.3536412738826808"/>
          <c:h val="9.410301204310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6350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19</xdr:col>
      <xdr:colOff>274358</xdr:colOff>
      <xdr:row>20</xdr:row>
      <xdr:rowOff>467656</xdr:rowOff>
    </xdr:from>
    <xdr:to>
      <xdr:col>21</xdr:col>
      <xdr:colOff>788176</xdr:colOff>
      <xdr:row>22</xdr:row>
      <xdr:rowOff>680316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7" name="Lograron detectar todas las noticias falsas?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Lograron detectar todas las noticias falsas?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464221" y="5791218"/>
              <a:ext cx="2601489" cy="172622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19</xdr:col>
      <xdr:colOff>242417</xdr:colOff>
      <xdr:row>18</xdr:row>
      <xdr:rowOff>251365</xdr:rowOff>
    </xdr:from>
    <xdr:to>
      <xdr:col>21</xdr:col>
      <xdr:colOff>756235</xdr:colOff>
      <xdr:row>20</xdr:row>
      <xdr:rowOff>311624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posible riesgo de caer en una noticia falsa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osible riesgo de caer en una noticia fals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432280" y="3891742"/>
              <a:ext cx="2601489" cy="174344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21</xdr:col>
      <xdr:colOff>997197</xdr:colOff>
      <xdr:row>35</xdr:row>
      <xdr:rowOff>170677</xdr:rowOff>
    </xdr:from>
    <xdr:to>
      <xdr:col>24</xdr:col>
      <xdr:colOff>471924</xdr:colOff>
      <xdr:row>37</xdr:row>
      <xdr:rowOff>423666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9" name="Lograron detectar todas las noticias falsas?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Lograron detectar todas las noticias falsas?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347054" y="17074738"/>
              <a:ext cx="2617977" cy="17769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22</xdr:col>
      <xdr:colOff>8572</xdr:colOff>
      <xdr:row>38</xdr:row>
      <xdr:rowOff>191578</xdr:rowOff>
    </xdr:from>
    <xdr:to>
      <xdr:col>24</xdr:col>
      <xdr:colOff>522390</xdr:colOff>
      <xdr:row>40</xdr:row>
      <xdr:rowOff>444565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0" name="Posible riesgo de caer en una noticia falsa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osible riesgo de caer en una noticia fals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406179" y="19381638"/>
              <a:ext cx="2609318" cy="177698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19</xdr:col>
      <xdr:colOff>237172</xdr:colOff>
      <xdr:row>94</xdr:row>
      <xdr:rowOff>356100</xdr:rowOff>
    </xdr:from>
    <xdr:to>
      <xdr:col>21</xdr:col>
      <xdr:colOff>766243</xdr:colOff>
      <xdr:row>96</xdr:row>
      <xdr:rowOff>514934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1" name="Lograron detectar todas las noticias falsas?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Lograron detectar todas las noticias falsas?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516022" y="60087505"/>
              <a:ext cx="2624571" cy="168805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19</xdr:col>
      <xdr:colOff>207174</xdr:colOff>
      <xdr:row>91</xdr:row>
      <xdr:rowOff>512373</xdr:rowOff>
    </xdr:from>
    <xdr:to>
      <xdr:col>21</xdr:col>
      <xdr:colOff>654848</xdr:colOff>
      <xdr:row>93</xdr:row>
      <xdr:rowOff>203067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2" name="posible riesgo de caer en una noticia falsa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osible riesgo de caer en una noticia fals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486024" y="57448647"/>
              <a:ext cx="2543174" cy="172904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22</xdr:col>
      <xdr:colOff>329138</xdr:colOff>
      <xdr:row>99</xdr:row>
      <xdr:rowOff>305394</xdr:rowOff>
    </xdr:from>
    <xdr:to>
      <xdr:col>25</xdr:col>
      <xdr:colOff>40697</xdr:colOff>
      <xdr:row>101</xdr:row>
      <xdr:rowOff>573944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3" name="Lograron detectar todas las noticias falsas? 3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Lograron detectar todas las noticias falsas?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751238" y="63846800"/>
              <a:ext cx="2569059" cy="179776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22</xdr:col>
      <xdr:colOff>319325</xdr:colOff>
      <xdr:row>102</xdr:row>
      <xdr:rowOff>77821</xdr:rowOff>
    </xdr:from>
    <xdr:to>
      <xdr:col>25</xdr:col>
      <xdr:colOff>9525</xdr:colOff>
      <xdr:row>104</xdr:row>
      <xdr:rowOff>356623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4" name="posible riesgo de caer en una noticia falsa 3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osible riesgo de caer en una noticia falsa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741425" y="65910445"/>
              <a:ext cx="2547700" cy="179758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19</xdr:col>
      <xdr:colOff>682277</xdr:colOff>
      <xdr:row>5</xdr:row>
      <xdr:rowOff>63152</xdr:rowOff>
    </xdr:from>
    <xdr:to>
      <xdr:col>20</xdr:col>
      <xdr:colOff>148877</xdr:colOff>
      <xdr:row>9</xdr:row>
      <xdr:rowOff>63153</xdr:rowOff>
    </xdr:to>
    <xdr:sp macro="" textlink="">
      <xdr:nvSpPr>
        <xdr:cNvPr id="4" name="Medio marco 3"/>
        <xdr:cNvSpPr/>
      </xdr:nvSpPr>
      <xdr:spPr>
        <a:xfrm>
          <a:off x="21872140" y="1106988"/>
          <a:ext cx="510436" cy="626302"/>
        </a:xfrm>
        <a:prstGeom prst="halfFram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676403</xdr:colOff>
      <xdr:row>8</xdr:row>
      <xdr:rowOff>122960</xdr:rowOff>
    </xdr:from>
    <xdr:to>
      <xdr:col>24</xdr:col>
      <xdr:colOff>209686</xdr:colOff>
      <xdr:row>12</xdr:row>
      <xdr:rowOff>86867</xdr:rowOff>
    </xdr:to>
    <xdr:sp macro="" textlink="">
      <xdr:nvSpPr>
        <xdr:cNvPr id="16" name="Medio marco 15"/>
        <xdr:cNvSpPr/>
      </xdr:nvSpPr>
      <xdr:spPr>
        <a:xfrm rot="10800000">
          <a:off x="26041608" y="1636522"/>
          <a:ext cx="577119" cy="590208"/>
        </a:xfrm>
        <a:prstGeom prst="halfFram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</xdr:row>
      <xdr:rowOff>0</xdr:rowOff>
    </xdr:from>
    <xdr:to>
      <xdr:col>11</xdr:col>
      <xdr:colOff>238125</xdr:colOff>
      <xdr:row>19</xdr:row>
      <xdr:rowOff>47625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Lograron_detectar_todas_las_noticias_falsas?" sourceName="Lograron detectar todas las noticias ya sean falsas o verdaderas?">
  <extLst>
    <x:ext xmlns:x15="http://schemas.microsoft.com/office/spreadsheetml/2010/11/main" uri="{2F2917AC-EB37-4324-AD4E-5DD8C200BD13}">
      <x15:tableSlicerCache tableId="2" column="16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osible_riesgo_de_caer_en_una_noticia_falsa" sourceName="Posible riesgo de caer en una noticia falsa">
  <extLst>
    <x:ext xmlns:x15="http://schemas.microsoft.com/office/spreadsheetml/2010/11/main" uri="{2F2917AC-EB37-4324-AD4E-5DD8C200BD13}">
      <x15:tableSlicerCache tableId="2" column="18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Lograron_detectar_todas_las_noticias_falsas?1" sourceName="Lograron detectar todas las noticias falsas?">
  <extLst>
    <x:ext xmlns:x15="http://schemas.microsoft.com/office/spreadsheetml/2010/11/main" uri="{2F2917AC-EB37-4324-AD4E-5DD8C200BD13}">
      <x15:tableSlicerCache tableId="3" column="16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osible_riesgo_de_caer_en_una_noticia_falsa1" sourceName="Posible riesgo de caer en una noticia falsa">
  <extLst>
    <x:ext xmlns:x15="http://schemas.microsoft.com/office/spreadsheetml/2010/11/main" uri="{2F2917AC-EB37-4324-AD4E-5DD8C200BD13}">
      <x15:tableSlicerCache tableId="3" column="17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Lograron_detectar_todas_las_noticias_falsas?2" sourceName="Lograron detectar todas las noticias falsas?">
  <extLst>
    <x:ext xmlns:x15="http://schemas.microsoft.com/office/spreadsheetml/2010/11/main" uri="{2F2917AC-EB37-4324-AD4E-5DD8C200BD13}">
      <x15:tableSlicerCache tableId="5" column="16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osible_riesgo_de_caer_en_una_noticia_falsa2" sourceName="posible riesgo de caer en una noticia falsa">
  <extLst>
    <x:ext xmlns:x15="http://schemas.microsoft.com/office/spreadsheetml/2010/11/main" uri="{2F2917AC-EB37-4324-AD4E-5DD8C200BD13}">
      <x15:tableSlicerCache tableId="5" column="17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Lograron_detectar_todas_las_noticias_falsas?3" sourceName="Lograron detectar todas las noticias falsas?">
  <extLst>
    <x:ext xmlns:x15="http://schemas.microsoft.com/office/spreadsheetml/2010/11/main" uri="{2F2917AC-EB37-4324-AD4E-5DD8C200BD13}">
      <x15:tableSlicerCache tableId="6" column="16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osible_riesgo_de_caer_en_una_noticia_falsa3" sourceName="posible riesgo de caer en una noticia falsa">
  <extLst>
    <x:ext xmlns:x15="http://schemas.microsoft.com/office/spreadsheetml/2010/11/main" uri="{2F2917AC-EB37-4324-AD4E-5DD8C200BD13}">
      <x15:tableSlicerCache tableId="6" column="17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Lograron detectar todas las noticias falsas?" cache="SegmentaciónDeDatos_Lograron_detectar_todas_las_noticias_falsas?" caption="Lograron detectar todas las noticias ya sean falsas o verdaderas?" style="SlicerStyleLight6" rowHeight="648000"/>
  <slicer name="posible riesgo de caer en una noticia falsa" cache="SegmentaciónDeDatos_posible_riesgo_de_caer_en_una_noticia_falsa" caption="Posible riesgo de caer en una noticia falsa" style="SlicerStyleLight6" rowHeight="648000"/>
  <slicer name="Lograron detectar todas las noticias falsas? 1" cache="SegmentaciónDeDatos_Lograron_detectar_todas_las_noticias_falsas?1" caption="Lograron detectar todas las noticias falsas?" style="SlicerStyleLight6" rowHeight="684000"/>
  <slicer name="Posible riesgo de caer en una noticia falsa 1" cache="SegmentaciónDeDatos_Posible_riesgo_de_caer_en_una_noticia_falsa1" caption="Posible riesgo de caer en una noticia falsa" style="SlicerStyleLight6" rowHeight="684000"/>
  <slicer name="Lograron detectar todas las noticias falsas? 2" cache="SegmentaciónDeDatos_Lograron_detectar_todas_las_noticias_falsas?2" caption="Lograron detectar todas las noticias falsas?" style="SlicerStyleLight6" rowHeight="648000"/>
  <slicer name="posible riesgo de caer en una noticia falsa 2" cache="SegmentaciónDeDatos_posible_riesgo_de_caer_en_una_noticia_falsa2" caption="posible riesgo de caer en una noticia falsa" style="SlicerStyleLight6" rowHeight="648000"/>
  <slicer name="Lograron detectar todas las noticias falsas? 3" cache="SegmentaciónDeDatos_Lograron_detectar_todas_las_noticias_falsas?3" caption="Lograron detectar todas las noticias falsas?" style="SlicerStyleLight6" rowHeight="684000"/>
  <slicer name="posible riesgo de caer en una noticia falsa 3" cache="SegmentaciónDeDatos_posible_riesgo_de_caer_en_una_noticia_falsa3" caption="posible riesgo de caer en una noticia falsa" style="SlicerStyleLight6" rowHeight="684000"/>
</slicers>
</file>

<file path=xl/tables/table1.xml><?xml version="1.0" encoding="utf-8"?>
<table xmlns="http://schemas.openxmlformats.org/spreadsheetml/2006/main" id="3" name="Tabla3" displayName="Tabla3" ref="Z20:AQ43" totalsRowShown="0" headerRowDxfId="87" dataDxfId="85" headerRowBorderDxfId="86">
  <autoFilter ref="Z20:AQ43"/>
  <tableColumns count="18">
    <tableColumn id="1" name="encuesta " dataDxfId="84"/>
    <tableColumn id="2" name="Edades especificas" dataDxfId="83"/>
    <tableColumn id="3" name="Fuentes de informacion" dataDxfId="82"/>
    <tableColumn id="4" name="¿Con qué frecuencia te encontrás con fake news? " dataDxfId="81"/>
    <tableColumn id="5" name="¿Verificas si una noticia es verdadera antes de compartirla? " dataDxfId="80"/>
    <tableColumn id="6" name="¿Qué tanto confías  en la información que ves en redes sociales?" dataDxfId="79"/>
    <tableColumn id="7" name="¿Que tipo personas crees que son mas propensas a creer en las fake news?" dataDxfId="78"/>
    <tableColumn id="8" name=" ¿Te preocupa que la inteligencia artificial (IA) pueda crear contenido falso difícil de distinguir de lo real?" dataDxfId="77"/>
    <tableColumn id="9" name="¿Pensás que deberían regularse los contenidos generados por inteligencia artificial (IA) para evitar la desinformación? " dataDxfId="76"/>
    <tableColumn id="10" name="¿Que habilidad crees que es fundamental para evitar caer en las fake news? " dataDxfId="75"/>
    <tableColumn id="11" name="¿Alguna vez compartiste una noticia que luego descubriste que era falsa?" dataDxfId="74"/>
    <tableColumn id="12" name="identifica la noticia falsa Imagen 1" dataDxfId="73"/>
    <tableColumn id="13" name="imagen 2" dataDxfId="72"/>
    <tableColumn id="14" name="imagen 3" dataDxfId="71"/>
    <tableColumn id="15" name="imagen 4" dataDxfId="70"/>
    <tableColumn id="16" name="Lograron detectar todas las noticias falsas?" dataDxfId="69">
      <calculatedColumnFormula>IF((AK21="Verdadera")*(AL21="Falsa")*(AM21="Verdadera")*(AN21="Falsa"),"Logro detectar todas las noticias","Fallo en algo al detectar")</calculatedColumnFormula>
    </tableColumn>
    <tableColumn id="17" name="Posible riesgo de caer en una noticia falsa" dataDxfId="68">
      <calculatedColumnFormula>IF(OR(AE21="Mucho",AD21="A veces",AND(AG21="No",AJ21="Sí, una vez",AC21="Frecuentemente")), "Riesgo alto", "Riesgo bajo")</calculatedColumnFormula>
    </tableColumn>
    <tableColumn id="18" name="Vulnerabilidad" dataDxfId="67">
      <calculatedColumnFormula>IF(AND(AC21="Frecuentemente",OR(AE21="Mucho",AH21="No, creo que es algo que no se pude evitar", AO21="Fallo en algo al detectar")),"Posiblemente sea vulnerable","Puede que no sea vulnerable")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B20:S60" totalsRowShown="0" headerRowDxfId="66" dataDxfId="64" headerRowBorderDxfId="65" tableBorderDxfId="63" totalsRowBorderDxfId="62">
  <autoFilter ref="B20:S60"/>
  <tableColumns count="18">
    <tableColumn id="12" name="encuesta " dataDxfId="61"/>
    <tableColumn id="1" name="Edades especificas" dataDxfId="60"/>
    <tableColumn id="2" name="Fuentes de informacion" dataDxfId="59"/>
    <tableColumn id="3" name="¿Con qué frecuencia te encontrás con fake news? " dataDxfId="58"/>
    <tableColumn id="4" name="¿Verificas si una noticia es verdadera antes de compartirla? " dataDxfId="57"/>
    <tableColumn id="5" name="¿Qué tanto confías  en la información que ves en redes sociales?" dataDxfId="56"/>
    <tableColumn id="6" name="¿Que tipo personas crees que son mas propensas a creer en las fake news?" dataDxfId="55"/>
    <tableColumn id="7" name=" ¿Te preocupa que la inteligencia artificial (IA) pueda crear contenido falso difícil de distinguir de lo real?" dataDxfId="54"/>
    <tableColumn id="8" name="¿Pensás que deberían regularse los contenidos generados por inteligencia artificial (IA) para evitar la desinformación? " dataDxfId="53"/>
    <tableColumn id="9" name="¿Que habilidad crees que es fundamental para evitar caer en las fake news? " dataDxfId="52"/>
    <tableColumn id="10" name="¿Alguna vez compartiste una noticia que luego descubriste que era falsa?" dataDxfId="51"/>
    <tableColumn id="11" name="Identifica la noticia falsa Imagen 1" dataDxfId="50"/>
    <tableColumn id="13" name="imagen 2" dataDxfId="49"/>
    <tableColumn id="14" name="imagen 3" dataDxfId="48"/>
    <tableColumn id="15" name="imagen 4" dataDxfId="47"/>
    <tableColumn id="16" name="Lograron detectar todas las noticias ya sean falsas o verdaderas?" dataDxfId="46">
      <calculatedColumnFormula>IF((M21="Verdadera")*(N21="Falsa")*(O21="Verdadera")*(P21="Falsa"),"Logro detectar todas las noticias","Fallo en algo al detectar")</calculatedColumnFormula>
    </tableColumn>
    <tableColumn id="18" name="Posible riesgo de caer en una noticia falsa" dataDxfId="45">
      <calculatedColumnFormula>IF(OR(G21="Mucho",F21="A veces",AND(I21="No",L21="Sí, una vez",E21="Frecuentemente")), "Riesgo alto", "Riesgo bajo")</calculatedColumnFormula>
    </tableColumn>
    <tableColumn id="19" name="Vulnerabilidad" dataDxfId="44">
      <calculatedColumnFormula>IF(AND(E21="Frecuentemente",OR(G21="Mucho",J21="No, creo que es algo que no se pude evitar",Q21="Fallo en algo al detectar")),"Posiblemente sea vulnerable","Puede que no sea vulnerable")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5" name="Tabla5" displayName="Tabla5" ref="B92:S109" totalsRowShown="0" headerRowDxfId="43" dataDxfId="41" headerRowBorderDxfId="42">
  <autoFilter ref="B92:S109"/>
  <tableColumns count="18">
    <tableColumn id="1" name="encuesta " dataDxfId="40"/>
    <tableColumn id="2" name="Edades especificas" dataDxfId="39"/>
    <tableColumn id="3" name="Fuentes de informacion" dataDxfId="38"/>
    <tableColumn id="4" name="¿Con qué frecuencia te encontrás con fake news? " dataDxfId="37"/>
    <tableColumn id="5" name="¿Verificas si una noticia es verdadera antes de compartirla? " dataDxfId="36"/>
    <tableColumn id="6" name="¿Qué tanto confías  en la información que ves en redes sociales?" dataDxfId="35"/>
    <tableColumn id="7" name="¿Que tipo personas crees que son mas propensas a creer en las fake news?" dataDxfId="34"/>
    <tableColumn id="8" name=" ¿Te preocupa que la inteligencia artificial (IA) pueda crear contenido falso difícil de distinguir de lo real?" dataDxfId="33"/>
    <tableColumn id="9" name="¿Pensás que deberían regularse los contenidos generados por inteligencia artificial (IA) para evitar la desinformación? " dataDxfId="32"/>
    <tableColumn id="10" name="¿Que habilidad crees que es fundamental para evitar caer en las fake news? " dataDxfId="31"/>
    <tableColumn id="11" name="¿Alguna vez compartiste una noticia que luego descubriste que era falsa?" dataDxfId="30"/>
    <tableColumn id="12" name="identifica la noticia falsa Imagen 1" dataDxfId="29"/>
    <tableColumn id="13" name="imagen 2" dataDxfId="28"/>
    <tableColumn id="14" name="imagen 3" dataDxfId="27"/>
    <tableColumn id="15" name="imagen 4" dataDxfId="26"/>
    <tableColumn id="16" name="Lograron detectar todas las noticias falsas?" dataDxfId="25">
      <calculatedColumnFormula>IF((M93="Verdadera")*(N93="Falsa")*(O93="Verdadera")*(P93="Falsa"),"Logro detectar todas las noticias","Fallo en algo al detectar")</calculatedColumnFormula>
    </tableColumn>
    <tableColumn id="17" name="posible riesgo de caer en una noticia falsa" dataDxfId="24">
      <calculatedColumnFormula>IF(OR(G93="Mucho",F93="A veces",AND(I93="No",L93="Sí, una vez",OR(E93="Frecuentemente"))), "Riesgo alto", "Riesgo bajo")</calculatedColumnFormula>
    </tableColumn>
    <tableColumn id="18" name="vulnerabilidad" dataDxfId="23">
      <calculatedColumnFormula>IF(AND(E93="Frecuentemente",OR(G93="Mucho",J93="No, creo que es algo que no se pude evitar",Q93="Fallo en algo al detectar")),"Posiblemente sea vulnerable","Puede que no sea vulnerable")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6" name="Tabla6" displayName="Tabla6" ref="AA95:AR107" totalsRowShown="0" headerRowDxfId="22" dataDxfId="20" headerRowBorderDxfId="21">
  <autoFilter ref="AA95:AR107"/>
  <tableColumns count="18">
    <tableColumn id="1" name="encuesta " dataDxfId="19"/>
    <tableColumn id="2" name="Edades especificas" dataDxfId="18"/>
    <tableColumn id="3" name="Fuentes de informacion" dataDxfId="17"/>
    <tableColumn id="4" name="¿Con qué frecuencia te encontrás con fake news? " dataDxfId="16"/>
    <tableColumn id="5" name="¿Verificas si una noticia es verdadera antes de compartirla? " dataDxfId="15"/>
    <tableColumn id="6" name="¿Qué tanto confías  en la información que ves en redes sociales?" dataDxfId="14"/>
    <tableColumn id="7" name="¿Que tipo personas crees que son mas propensas a creer en las fake news?" dataDxfId="13"/>
    <tableColumn id="8" name=" ¿Te preocupa que la inteligencia artificial (IA) pueda crear contenido falso difícil de distinguir de lo real?" dataDxfId="12"/>
    <tableColumn id="9" name="¿Pensás que deberían regularse los contenidos generados por inteligencia artificial (IA) para evitar la desinformación? " dataDxfId="11"/>
    <tableColumn id="10" name="¿Que habilidad crees que es fundamental para evitar caer en las fake news? " dataDxfId="10"/>
    <tableColumn id="11" name="¿Alguna vez compartiste una noticia que luego descubriste que era falsa?" dataDxfId="9"/>
    <tableColumn id="12" name="identifica la noticia falsa Imagen 1" dataDxfId="8"/>
    <tableColumn id="13" name="imagen 2" dataDxfId="7"/>
    <tableColumn id="14" name="imagen 3" dataDxfId="6"/>
    <tableColumn id="15" name="imagen 4" dataDxfId="5"/>
    <tableColumn id="16" name="Lograron detectar todas las noticias falsas?" dataDxfId="4">
      <calculatedColumnFormula>IF((AL96="Verdadera")*(AM96="Falsa")*(AN96="Verdadera")*(AO96="Falsa"),"Logro detectar todas las noticias","Fallo en algo al detectar")</calculatedColumnFormula>
    </tableColumn>
    <tableColumn id="17" name="posible riesgo de caer en una noticia falsa" dataDxfId="3">
      <calculatedColumnFormula>IF(OR(AF96="Mucho",AE96="A veces",AND(AH96="No",AK96="Sí, una vez",AD96="Frecuentemente")), "Riesgo alto", "Riesgo bajo")</calculatedColumnFormula>
    </tableColumn>
    <tableColumn id="18" name="Vulnerabilidad" dataDxfId="2">
      <calculatedColumnFormula>IF(AND(AD96="Frecuentemente",OR(AF96="Mucho",AI96="No, creo que es algo que no se pude evitar", AP96="Fallo en algo al detectar")),"Posiblemente sea vulnerable","Puede que no sea vulnerable")</calculatedColumnFormula>
    </tableColumn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4" name="Tabla4" displayName="Tabla4" ref="B15:D45" totalsRowShown="0" headerRowDxfId="1">
  <autoFilter ref="B15:D45"/>
  <tableColumns count="3">
    <tableColumn id="1" name="encuestas "/>
    <tableColumn id="2" name="edades" dataDxfId="0"/>
    <tableColumn id="3" name="¿Qué red social usás más para informarte?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150"/>
  <sheetViews>
    <sheetView showGridLines="0" tabSelected="1" topLeftCell="L1" zoomScale="60" zoomScaleNormal="60" workbookViewId="0">
      <selection activeCell="Q2" sqref="Q2:AC11"/>
    </sheetView>
  </sheetViews>
  <sheetFormatPr baseColWidth="10" defaultRowHeight="12.75" x14ac:dyDescent="0.2"/>
  <cols>
    <col min="1" max="1" width="11.28515625" customWidth="1"/>
    <col min="2" max="2" width="4.28515625" style="7" customWidth="1"/>
    <col min="3" max="8" width="15.7109375" customWidth="1"/>
    <col min="9" max="9" width="15.7109375" style="6" customWidth="1"/>
    <col min="10" max="10" width="15.7109375" customWidth="1"/>
    <col min="11" max="11" width="15.7109375" style="5" customWidth="1"/>
    <col min="12" max="16" width="15.7109375" customWidth="1"/>
    <col min="17" max="17" width="31" customWidth="1"/>
    <col min="18" max="18" width="15.7109375" customWidth="1"/>
    <col min="19" max="19" width="36.42578125" customWidth="1"/>
    <col min="20" max="24" width="15.7109375" customWidth="1"/>
    <col min="25" max="25" width="11.42578125" customWidth="1"/>
    <col min="26" max="26" width="4.7109375" customWidth="1"/>
    <col min="27" max="27" width="7.42578125" customWidth="1"/>
    <col min="28" max="28" width="12.28515625" customWidth="1"/>
    <col min="29" max="30" width="15.7109375" customWidth="1"/>
    <col min="31" max="31" width="15.42578125" customWidth="1"/>
    <col min="32" max="40" width="15.7109375" customWidth="1"/>
    <col min="41" max="41" width="29.42578125" customWidth="1"/>
    <col min="42" max="42" width="27.28515625" customWidth="1"/>
    <col min="43" max="43" width="35.85546875" customWidth="1"/>
    <col min="44" max="44" width="34.42578125" customWidth="1"/>
  </cols>
  <sheetData>
    <row r="1" spans="2:43" ht="33" x14ac:dyDescent="0.45">
      <c r="T1" s="139">
        <f ca="1">TODAY()</f>
        <v>45851</v>
      </c>
      <c r="U1" s="139"/>
      <c r="V1" s="139"/>
      <c r="W1" s="139"/>
      <c r="X1" s="139"/>
      <c r="Y1" s="139"/>
    </row>
    <row r="2" spans="2:43" ht="12.75" customHeight="1" x14ac:dyDescent="0.2">
      <c r="Q2" s="140" t="s">
        <v>103</v>
      </c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</row>
    <row r="3" spans="2:43" ht="12.75" customHeight="1" x14ac:dyDescent="0.2"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</row>
    <row r="4" spans="2:43" ht="12.75" customHeight="1" x14ac:dyDescent="0.2"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</row>
    <row r="5" spans="2:43" ht="12.75" customHeight="1" x14ac:dyDescent="0.2"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</row>
    <row r="6" spans="2:43" ht="12.75" customHeight="1" x14ac:dyDescent="0.2"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</row>
    <row r="7" spans="2:43" ht="12.75" customHeight="1" x14ac:dyDescent="0.2"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</row>
    <row r="8" spans="2:43" ht="12.75" customHeight="1" x14ac:dyDescent="0.2"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</row>
    <row r="9" spans="2:43" ht="12.75" customHeight="1" x14ac:dyDescent="0.2"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</row>
    <row r="10" spans="2:43" ht="12.75" customHeight="1" x14ac:dyDescent="0.2"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</row>
    <row r="11" spans="2:43" ht="12.75" customHeight="1" x14ac:dyDescent="0.2"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</row>
    <row r="12" spans="2:43" ht="12.75" customHeight="1" x14ac:dyDescent="0.8"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</row>
    <row r="13" spans="2:43" ht="12.75" customHeight="1" x14ac:dyDescent="0.8"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</row>
    <row r="14" spans="2:43" ht="12.75" customHeight="1" x14ac:dyDescent="0.8"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</row>
    <row r="15" spans="2:43" ht="12.75" customHeight="1" x14ac:dyDescent="0.8"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</row>
    <row r="16" spans="2:43" ht="42.75" x14ac:dyDescent="0.8">
      <c r="B16" s="141" t="s">
        <v>97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6"/>
      <c r="U16" s="16"/>
      <c r="V16" s="16"/>
      <c r="W16" s="16"/>
      <c r="X16" s="16"/>
      <c r="Y16" s="16"/>
      <c r="Z16" s="142" t="s">
        <v>98</v>
      </c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</row>
    <row r="17" spans="2:43" x14ac:dyDescent="0.2">
      <c r="B17" s="143" t="s">
        <v>53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5"/>
      <c r="S17" s="15"/>
      <c r="T17" s="15"/>
      <c r="U17" s="17"/>
      <c r="V17" s="17"/>
      <c r="W17" s="17"/>
      <c r="X17" s="15"/>
      <c r="Y17" s="15"/>
    </row>
    <row r="18" spans="2:43" ht="25.5" customHeight="1" x14ac:dyDescent="0.2"/>
    <row r="19" spans="2:43" ht="25.5" customHeight="1" x14ac:dyDescent="0.2"/>
    <row r="20" spans="2:43" s="37" customFormat="1" ht="106.5" customHeight="1" x14ac:dyDescent="0.25">
      <c r="B20" s="89" t="s">
        <v>54</v>
      </c>
      <c r="C20" s="90" t="s">
        <v>41</v>
      </c>
      <c r="D20" s="89" t="s">
        <v>40</v>
      </c>
      <c r="E20" s="89" t="s">
        <v>1</v>
      </c>
      <c r="F20" s="89" t="s">
        <v>2</v>
      </c>
      <c r="G20" s="89" t="s">
        <v>3</v>
      </c>
      <c r="H20" s="89" t="s">
        <v>4</v>
      </c>
      <c r="I20" s="89" t="s">
        <v>5</v>
      </c>
      <c r="J20" s="91" t="s">
        <v>6</v>
      </c>
      <c r="K20" s="89" t="s">
        <v>42</v>
      </c>
      <c r="L20" s="89" t="s">
        <v>7</v>
      </c>
      <c r="M20" s="89" t="s">
        <v>93</v>
      </c>
      <c r="N20" s="92" t="s">
        <v>55</v>
      </c>
      <c r="O20" s="92" t="s">
        <v>56</v>
      </c>
      <c r="P20" s="92" t="s">
        <v>57</v>
      </c>
      <c r="Q20" s="93" t="s">
        <v>87</v>
      </c>
      <c r="R20" s="94" t="s">
        <v>61</v>
      </c>
      <c r="S20" s="41" t="s">
        <v>62</v>
      </c>
      <c r="T20" s="95"/>
      <c r="U20" s="95"/>
      <c r="V20" s="95"/>
      <c r="W20" s="95"/>
      <c r="X20" s="95"/>
      <c r="Z20" s="96" t="s">
        <v>54</v>
      </c>
      <c r="AA20" s="97" t="s">
        <v>41</v>
      </c>
      <c r="AB20" s="96" t="s">
        <v>40</v>
      </c>
      <c r="AC20" s="96" t="s">
        <v>1</v>
      </c>
      <c r="AD20" s="96" t="s">
        <v>2</v>
      </c>
      <c r="AE20" s="96" t="s">
        <v>3</v>
      </c>
      <c r="AF20" s="96" t="s">
        <v>4</v>
      </c>
      <c r="AG20" s="96" t="s">
        <v>5</v>
      </c>
      <c r="AH20" s="98" t="s">
        <v>6</v>
      </c>
      <c r="AI20" s="96" t="s">
        <v>42</v>
      </c>
      <c r="AJ20" s="96" t="s">
        <v>7</v>
      </c>
      <c r="AK20" s="96" t="s">
        <v>58</v>
      </c>
      <c r="AL20" s="99" t="s">
        <v>55</v>
      </c>
      <c r="AM20" s="99" t="s">
        <v>56</v>
      </c>
      <c r="AN20" s="99" t="s">
        <v>57</v>
      </c>
      <c r="AO20" s="100" t="s">
        <v>59</v>
      </c>
      <c r="AP20" s="101" t="s">
        <v>61</v>
      </c>
      <c r="AQ20" s="102" t="s">
        <v>62</v>
      </c>
    </row>
    <row r="21" spans="2:43" s="37" customFormat="1" ht="60" customHeight="1" x14ac:dyDescent="0.25">
      <c r="B21" s="31">
        <v>1</v>
      </c>
      <c r="C21" s="32">
        <v>14</v>
      </c>
      <c r="D21" s="32" t="s">
        <v>23</v>
      </c>
      <c r="E21" s="32" t="s">
        <v>24</v>
      </c>
      <c r="F21" s="32" t="s">
        <v>20</v>
      </c>
      <c r="G21" s="32" t="s">
        <v>11</v>
      </c>
      <c r="H21" s="32" t="s">
        <v>12</v>
      </c>
      <c r="I21" s="32" t="s">
        <v>13</v>
      </c>
      <c r="J21" s="32" t="s">
        <v>30</v>
      </c>
      <c r="K21" s="32" t="s">
        <v>15</v>
      </c>
      <c r="L21" s="32" t="s">
        <v>27</v>
      </c>
      <c r="M21" s="32" t="s">
        <v>17</v>
      </c>
      <c r="N21" s="32" t="s">
        <v>18</v>
      </c>
      <c r="O21" s="32" t="s">
        <v>17</v>
      </c>
      <c r="P21" s="33" t="s">
        <v>18</v>
      </c>
      <c r="Q21" s="34" t="str">
        <f>IF((M21="Verdadera")*(N21="Falsa")*(O21="Verdadera")*(P21="Falsa"),"Logro detectar todas las noticias","Fallo en algo al detectar")</f>
        <v>Logro detectar todas las noticias</v>
      </c>
      <c r="R21" s="35" t="str">
        <f>IF(OR(G21="Mucho",F21="A veces",AND(I21="No",L21="Sí, una vez",E21="Frecuentemente")), "Riesgo alto", "Riesgo bajo")</f>
        <v>Riesgo bajo</v>
      </c>
      <c r="S21" s="35" t="str">
        <f t="shared" ref="S21:S60" si="0">IF(AND(E21="Frecuentemente",OR(G21="Mucho",J21="No, creo que es algo que no se pude evitar",Q21="Fallo en algo al detectar")),"Posiblemente sea vulnerable","Puede que no sea vulnerable")</f>
        <v>Puede que no sea vulnerable</v>
      </c>
      <c r="T21" s="36"/>
      <c r="U21" s="36"/>
      <c r="V21" s="36"/>
      <c r="W21" s="36"/>
      <c r="X21" s="36"/>
      <c r="Z21" s="37">
        <v>41</v>
      </c>
      <c r="AA21" s="38">
        <v>19</v>
      </c>
      <c r="AB21" s="38" t="s">
        <v>8</v>
      </c>
      <c r="AC21" s="38" t="s">
        <v>10</v>
      </c>
      <c r="AD21" s="38" t="s">
        <v>10</v>
      </c>
      <c r="AE21" s="38" t="s">
        <v>11</v>
      </c>
      <c r="AF21" s="38" t="s">
        <v>12</v>
      </c>
      <c r="AG21" s="38" t="s">
        <v>13</v>
      </c>
      <c r="AH21" s="38" t="s">
        <v>30</v>
      </c>
      <c r="AI21" s="38" t="s">
        <v>22</v>
      </c>
      <c r="AJ21" s="38" t="s">
        <v>37</v>
      </c>
      <c r="AK21" s="38" t="s">
        <v>17</v>
      </c>
      <c r="AL21" s="38" t="s">
        <v>18</v>
      </c>
      <c r="AM21" s="38" t="s">
        <v>17</v>
      </c>
      <c r="AN21" s="39" t="s">
        <v>18</v>
      </c>
      <c r="AO21" s="34" t="str">
        <f t="shared" ref="AO21:AO43" si="1">IF((AK21="Verdadera")*(AL21="Falsa")*(AM21="Verdadera")*(AN21="Falsa"),"Logro detectar todas las noticias","Fallo en algo al detectar")</f>
        <v>Logro detectar todas las noticias</v>
      </c>
      <c r="AP21" s="40" t="str">
        <f>IF(OR(AE21="Mucho",AD21="A veces",AND(AG21="No",AJ21="Sí, una vez",AC21="Frecuentemente")), "Riesgo alto", "Riesgo bajo")</f>
        <v>Riesgo alto</v>
      </c>
      <c r="AQ21" s="41" t="str">
        <f t="shared" ref="AQ21:AQ43" si="2">IF(AND(AC21="Frecuentemente",OR(AE21="Mucho",AH21="No, creo que es algo que no se pude evitar", AO21="Fallo en algo al detectar")),"Posiblemente sea vulnerable","Puede que no sea vulnerable")</f>
        <v>Puede que no sea vulnerable</v>
      </c>
    </row>
    <row r="22" spans="2:43" s="37" customFormat="1" ht="60" customHeight="1" x14ac:dyDescent="0.25">
      <c r="B22" s="31">
        <v>2</v>
      </c>
      <c r="C22" s="42">
        <v>14</v>
      </c>
      <c r="D22" s="42" t="s">
        <v>8</v>
      </c>
      <c r="E22" s="42" t="s">
        <v>24</v>
      </c>
      <c r="F22" s="42" t="s">
        <v>20</v>
      </c>
      <c r="G22" s="42" t="s">
        <v>11</v>
      </c>
      <c r="H22" s="42" t="s">
        <v>29</v>
      </c>
      <c r="I22" s="42" t="s">
        <v>13</v>
      </c>
      <c r="J22" s="42" t="s">
        <v>30</v>
      </c>
      <c r="K22" s="42" t="s">
        <v>22</v>
      </c>
      <c r="L22" s="42" t="s">
        <v>27</v>
      </c>
      <c r="M22" s="42" t="s">
        <v>18</v>
      </c>
      <c r="N22" s="42" t="s">
        <v>18</v>
      </c>
      <c r="O22" s="42" t="s">
        <v>17</v>
      </c>
      <c r="P22" s="43" t="s">
        <v>17</v>
      </c>
      <c r="Q22" s="34" t="str">
        <f t="shared" ref="Q22:Q60" si="3">IF((M22="Verdadera")*(N22="Falsa")*(O22="Verdadera")*(P22="Falsa"),"Logro detectar todas las noticias","Fallo en algo al detectar")</f>
        <v>Fallo en algo al detectar</v>
      </c>
      <c r="R22" s="35" t="str">
        <f t="shared" ref="R22:R60" si="4">IF(OR(G22="Mucho",F22="A veces",AND(I22="No",L22="Sí, una vez",E22="Frecuentemente")), "Riesgo alto", "Riesgo bajo")</f>
        <v>Riesgo bajo</v>
      </c>
      <c r="S22" s="35" t="str">
        <f t="shared" si="0"/>
        <v>Puede que no sea vulnerable</v>
      </c>
      <c r="T22" s="36"/>
      <c r="U22" s="36"/>
      <c r="V22" s="36"/>
      <c r="W22" s="36"/>
      <c r="X22" s="36"/>
      <c r="Z22" s="37">
        <v>42</v>
      </c>
      <c r="AA22" s="45">
        <v>19</v>
      </c>
      <c r="AB22" s="45" t="s">
        <v>23</v>
      </c>
      <c r="AC22" s="45" t="s">
        <v>9</v>
      </c>
      <c r="AD22" s="45" t="s">
        <v>20</v>
      </c>
      <c r="AE22" s="45" t="s">
        <v>11</v>
      </c>
      <c r="AF22" s="45" t="s">
        <v>35</v>
      </c>
      <c r="AG22" s="45" t="s">
        <v>13</v>
      </c>
      <c r="AH22" s="45" t="s">
        <v>30</v>
      </c>
      <c r="AI22" s="45" t="s">
        <v>26</v>
      </c>
      <c r="AJ22" s="45" t="s">
        <v>27</v>
      </c>
      <c r="AK22" s="45" t="s">
        <v>17</v>
      </c>
      <c r="AL22" s="45" t="s">
        <v>18</v>
      </c>
      <c r="AM22" s="45" t="s">
        <v>17</v>
      </c>
      <c r="AN22" s="46" t="s">
        <v>18</v>
      </c>
      <c r="AO22" s="44" t="str">
        <f t="shared" si="1"/>
        <v>Logro detectar todas las noticias</v>
      </c>
      <c r="AP22" s="40" t="str">
        <f t="shared" ref="AP22:AP43" si="5">IF(OR(AE22="Mucho",AD22="A veces",AND(AG22="No",AJ22="Sí, una vez",AC22="Frecuentemente")), "Riesgo alto", "Riesgo bajo")</f>
        <v>Riesgo bajo</v>
      </c>
      <c r="AQ22" s="41" t="str">
        <f t="shared" si="2"/>
        <v>Puede que no sea vulnerable</v>
      </c>
    </row>
    <row r="23" spans="2:43" s="37" customFormat="1" ht="60" customHeight="1" x14ac:dyDescent="0.25">
      <c r="B23" s="31">
        <v>3</v>
      </c>
      <c r="C23" s="32">
        <v>14</v>
      </c>
      <c r="D23" s="32" t="s">
        <v>8</v>
      </c>
      <c r="E23" s="32" t="s">
        <v>10</v>
      </c>
      <c r="F23" s="32" t="s">
        <v>10</v>
      </c>
      <c r="G23" s="32" t="s">
        <v>11</v>
      </c>
      <c r="H23" s="32" t="s">
        <v>29</v>
      </c>
      <c r="I23" s="32" t="s">
        <v>13</v>
      </c>
      <c r="J23" s="32" t="s">
        <v>21</v>
      </c>
      <c r="K23" s="32" t="s">
        <v>15</v>
      </c>
      <c r="L23" s="32" t="s">
        <v>16</v>
      </c>
      <c r="M23" s="32" t="s">
        <v>17</v>
      </c>
      <c r="N23" s="32" t="s">
        <v>18</v>
      </c>
      <c r="O23" s="32" t="s">
        <v>17</v>
      </c>
      <c r="P23" s="33" t="s">
        <v>18</v>
      </c>
      <c r="Q23" s="34" t="str">
        <f t="shared" si="3"/>
        <v>Logro detectar todas las noticias</v>
      </c>
      <c r="R23" s="35" t="str">
        <f t="shared" si="4"/>
        <v>Riesgo alto</v>
      </c>
      <c r="S23" s="35" t="str">
        <f t="shared" si="0"/>
        <v>Puede que no sea vulnerable</v>
      </c>
      <c r="T23" s="36"/>
      <c r="U23" s="36"/>
      <c r="V23" s="36"/>
      <c r="W23" s="36"/>
      <c r="X23" s="36"/>
      <c r="Z23" s="37">
        <v>43</v>
      </c>
      <c r="AA23" s="38">
        <v>19</v>
      </c>
      <c r="AB23" s="38" t="s">
        <v>8</v>
      </c>
      <c r="AC23" s="38" t="s">
        <v>9</v>
      </c>
      <c r="AD23" s="38" t="s">
        <v>10</v>
      </c>
      <c r="AE23" s="38" t="s">
        <v>11</v>
      </c>
      <c r="AF23" s="38" t="s">
        <v>12</v>
      </c>
      <c r="AG23" s="38" t="s">
        <v>13</v>
      </c>
      <c r="AH23" s="38" t="s">
        <v>21</v>
      </c>
      <c r="AI23" s="38" t="s">
        <v>26</v>
      </c>
      <c r="AJ23" s="38" t="s">
        <v>33</v>
      </c>
      <c r="AK23" s="38" t="s">
        <v>17</v>
      </c>
      <c r="AL23" s="38" t="s">
        <v>18</v>
      </c>
      <c r="AM23" s="38" t="s">
        <v>18</v>
      </c>
      <c r="AN23" s="39" t="s">
        <v>17</v>
      </c>
      <c r="AO23" s="34" t="str">
        <f t="shared" si="1"/>
        <v>Fallo en algo al detectar</v>
      </c>
      <c r="AP23" s="40" t="str">
        <f t="shared" si="5"/>
        <v>Riesgo alto</v>
      </c>
      <c r="AQ23" s="41" t="str">
        <f t="shared" si="2"/>
        <v>Posiblemente sea vulnerable</v>
      </c>
    </row>
    <row r="24" spans="2:43" s="37" customFormat="1" ht="60" customHeight="1" x14ac:dyDescent="0.25">
      <c r="B24" s="31">
        <v>4</v>
      </c>
      <c r="C24" s="42">
        <v>16</v>
      </c>
      <c r="D24" s="42" t="s">
        <v>23</v>
      </c>
      <c r="E24" s="42" t="s">
        <v>10</v>
      </c>
      <c r="F24" s="42" t="s">
        <v>20</v>
      </c>
      <c r="G24" s="42" t="s">
        <v>32</v>
      </c>
      <c r="H24" s="42" t="s">
        <v>35</v>
      </c>
      <c r="I24" s="42" t="s">
        <v>25</v>
      </c>
      <c r="J24" s="42" t="s">
        <v>30</v>
      </c>
      <c r="K24" s="42" t="s">
        <v>22</v>
      </c>
      <c r="L24" s="42" t="s">
        <v>37</v>
      </c>
      <c r="M24" s="42" t="s">
        <v>18</v>
      </c>
      <c r="N24" s="42" t="s">
        <v>18</v>
      </c>
      <c r="O24" s="42" t="s">
        <v>17</v>
      </c>
      <c r="P24" s="43" t="s">
        <v>18</v>
      </c>
      <c r="Q24" s="34" t="str">
        <f t="shared" si="3"/>
        <v>Fallo en algo al detectar</v>
      </c>
      <c r="R24" s="35" t="str">
        <f t="shared" si="4"/>
        <v>Riesgo alto</v>
      </c>
      <c r="S24" s="35" t="str">
        <f t="shared" si="0"/>
        <v>Puede que no sea vulnerable</v>
      </c>
      <c r="T24" s="36"/>
      <c r="U24" s="36"/>
      <c r="V24" s="36"/>
      <c r="W24" s="36"/>
      <c r="X24" s="36"/>
      <c r="Z24" s="37">
        <v>44</v>
      </c>
      <c r="AA24" s="45">
        <v>19</v>
      </c>
      <c r="AB24" s="45" t="s">
        <v>34</v>
      </c>
      <c r="AC24" s="45" t="s">
        <v>9</v>
      </c>
      <c r="AD24" s="45" t="s">
        <v>10</v>
      </c>
      <c r="AE24" s="45" t="s">
        <v>11</v>
      </c>
      <c r="AF24" s="45" t="s">
        <v>12</v>
      </c>
      <c r="AG24" s="45" t="s">
        <v>13</v>
      </c>
      <c r="AH24" s="45" t="s">
        <v>30</v>
      </c>
      <c r="AI24" s="45" t="s">
        <v>15</v>
      </c>
      <c r="AJ24" s="45" t="s">
        <v>37</v>
      </c>
      <c r="AK24" s="45" t="s">
        <v>17</v>
      </c>
      <c r="AL24" s="45" t="s">
        <v>18</v>
      </c>
      <c r="AM24" s="45" t="s">
        <v>18</v>
      </c>
      <c r="AN24" s="46" t="s">
        <v>17</v>
      </c>
      <c r="AO24" s="44" t="str">
        <f t="shared" si="1"/>
        <v>Fallo en algo al detectar</v>
      </c>
      <c r="AP24" s="40" t="str">
        <f t="shared" si="5"/>
        <v>Riesgo alto</v>
      </c>
      <c r="AQ24" s="41" t="str">
        <f t="shared" si="2"/>
        <v>Posiblemente sea vulnerable</v>
      </c>
    </row>
    <row r="25" spans="2:43" s="37" customFormat="1" ht="60" customHeight="1" x14ac:dyDescent="0.25">
      <c r="B25" s="31">
        <v>5</v>
      </c>
      <c r="C25" s="32">
        <v>17</v>
      </c>
      <c r="D25" s="32" t="s">
        <v>23</v>
      </c>
      <c r="E25" s="32" t="s">
        <v>10</v>
      </c>
      <c r="F25" s="32" t="s">
        <v>10</v>
      </c>
      <c r="G25" s="32" t="s">
        <v>32</v>
      </c>
      <c r="H25" s="32" t="s">
        <v>12</v>
      </c>
      <c r="I25" s="32" t="s">
        <v>13</v>
      </c>
      <c r="J25" s="32" t="s">
        <v>30</v>
      </c>
      <c r="K25" s="32" t="s">
        <v>22</v>
      </c>
      <c r="L25" s="32" t="s">
        <v>33</v>
      </c>
      <c r="M25" s="32" t="s">
        <v>17</v>
      </c>
      <c r="N25" s="32" t="s">
        <v>18</v>
      </c>
      <c r="O25" s="32" t="s">
        <v>18</v>
      </c>
      <c r="P25" s="33" t="s">
        <v>18</v>
      </c>
      <c r="Q25" s="34" t="str">
        <f t="shared" si="3"/>
        <v>Fallo en algo al detectar</v>
      </c>
      <c r="R25" s="35" t="str">
        <f t="shared" si="4"/>
        <v>Riesgo alto</v>
      </c>
      <c r="S25" s="35" t="str">
        <f t="shared" si="0"/>
        <v>Puede que no sea vulnerable</v>
      </c>
      <c r="T25" s="36"/>
      <c r="U25" s="36"/>
      <c r="V25" s="36"/>
      <c r="W25" s="36"/>
      <c r="X25" s="36"/>
      <c r="Z25" s="37">
        <v>45</v>
      </c>
      <c r="AA25" s="38">
        <v>19</v>
      </c>
      <c r="AB25" s="38" t="s">
        <v>19</v>
      </c>
      <c r="AC25" s="38" t="s">
        <v>10</v>
      </c>
      <c r="AD25" s="38" t="s">
        <v>10</v>
      </c>
      <c r="AE25" s="38" t="s">
        <v>11</v>
      </c>
      <c r="AF25" s="38" t="s">
        <v>12</v>
      </c>
      <c r="AG25" s="38" t="s">
        <v>13</v>
      </c>
      <c r="AH25" s="38" t="s">
        <v>30</v>
      </c>
      <c r="AI25" s="38" t="s">
        <v>15</v>
      </c>
      <c r="AJ25" s="38" t="s">
        <v>27</v>
      </c>
      <c r="AK25" s="38" t="s">
        <v>17</v>
      </c>
      <c r="AL25" s="38" t="s">
        <v>18</v>
      </c>
      <c r="AM25" s="38" t="s">
        <v>17</v>
      </c>
      <c r="AN25" s="39" t="s">
        <v>18</v>
      </c>
      <c r="AO25" s="44" t="str">
        <f t="shared" si="1"/>
        <v>Logro detectar todas las noticias</v>
      </c>
      <c r="AP25" s="40" t="str">
        <f t="shared" si="5"/>
        <v>Riesgo alto</v>
      </c>
      <c r="AQ25" s="41" t="str">
        <f t="shared" si="2"/>
        <v>Puede que no sea vulnerable</v>
      </c>
    </row>
    <row r="26" spans="2:43" s="37" customFormat="1" ht="60" customHeight="1" x14ac:dyDescent="0.25">
      <c r="B26" s="31">
        <v>6</v>
      </c>
      <c r="C26" s="42">
        <v>17</v>
      </c>
      <c r="D26" s="42" t="s">
        <v>8</v>
      </c>
      <c r="E26" s="42" t="s">
        <v>24</v>
      </c>
      <c r="F26" s="42" t="s">
        <v>20</v>
      </c>
      <c r="G26" s="42" t="s">
        <v>32</v>
      </c>
      <c r="H26" s="42" t="s">
        <v>12</v>
      </c>
      <c r="I26" s="42" t="s">
        <v>13</v>
      </c>
      <c r="J26" s="42" t="s">
        <v>30</v>
      </c>
      <c r="K26" s="42" t="s">
        <v>26</v>
      </c>
      <c r="L26" s="42" t="s">
        <v>16</v>
      </c>
      <c r="M26" s="42" t="s">
        <v>18</v>
      </c>
      <c r="N26" s="42" t="s">
        <v>18</v>
      </c>
      <c r="O26" s="42" t="s">
        <v>18</v>
      </c>
      <c r="P26" s="43" t="s">
        <v>17</v>
      </c>
      <c r="Q26" s="34" t="str">
        <f t="shared" si="3"/>
        <v>Fallo en algo al detectar</v>
      </c>
      <c r="R26" s="35" t="str">
        <f t="shared" si="4"/>
        <v>Riesgo alto</v>
      </c>
      <c r="S26" s="35" t="str">
        <f t="shared" si="0"/>
        <v>Puede que no sea vulnerable</v>
      </c>
      <c r="T26" s="36"/>
      <c r="U26" s="36"/>
      <c r="V26" s="36"/>
      <c r="W26" s="36"/>
      <c r="X26" s="36"/>
      <c r="Z26" s="37">
        <v>46</v>
      </c>
      <c r="AA26" s="45">
        <v>19</v>
      </c>
      <c r="AB26" s="45" t="s">
        <v>23</v>
      </c>
      <c r="AC26" s="45" t="s">
        <v>9</v>
      </c>
      <c r="AD26" s="45" t="s">
        <v>20</v>
      </c>
      <c r="AE26" s="45" t="s">
        <v>11</v>
      </c>
      <c r="AF26" s="45" t="s">
        <v>12</v>
      </c>
      <c r="AG26" s="45" t="s">
        <v>13</v>
      </c>
      <c r="AH26" s="45" t="s">
        <v>30</v>
      </c>
      <c r="AI26" s="45" t="s">
        <v>22</v>
      </c>
      <c r="AJ26" s="45" t="s">
        <v>37</v>
      </c>
      <c r="AK26" s="45" t="s">
        <v>18</v>
      </c>
      <c r="AL26" s="45" t="s">
        <v>18</v>
      </c>
      <c r="AM26" s="45" t="s">
        <v>17</v>
      </c>
      <c r="AN26" s="46" t="s">
        <v>18</v>
      </c>
      <c r="AO26" s="44" t="str">
        <f t="shared" si="1"/>
        <v>Fallo en algo al detectar</v>
      </c>
      <c r="AP26" s="40" t="str">
        <f t="shared" si="5"/>
        <v>Riesgo bajo</v>
      </c>
      <c r="AQ26" s="41" t="str">
        <f t="shared" si="2"/>
        <v>Posiblemente sea vulnerable</v>
      </c>
    </row>
    <row r="27" spans="2:43" s="37" customFormat="1" ht="60" customHeight="1" x14ac:dyDescent="0.25">
      <c r="B27" s="31">
        <v>7</v>
      </c>
      <c r="C27" s="32">
        <v>17</v>
      </c>
      <c r="D27" s="32" t="s">
        <v>19</v>
      </c>
      <c r="E27" s="32" t="s">
        <v>9</v>
      </c>
      <c r="F27" s="32" t="s">
        <v>20</v>
      </c>
      <c r="G27" s="32" t="s">
        <v>11</v>
      </c>
      <c r="H27" s="32" t="s">
        <v>29</v>
      </c>
      <c r="I27" s="32" t="s">
        <v>13</v>
      </c>
      <c r="J27" s="32" t="s">
        <v>30</v>
      </c>
      <c r="K27" s="32" t="s">
        <v>15</v>
      </c>
      <c r="L27" s="32" t="s">
        <v>16</v>
      </c>
      <c r="M27" s="32" t="s">
        <v>18</v>
      </c>
      <c r="N27" s="32" t="s">
        <v>18</v>
      </c>
      <c r="O27" s="32" t="s">
        <v>18</v>
      </c>
      <c r="P27" s="33" t="s">
        <v>17</v>
      </c>
      <c r="Q27" s="34" t="str">
        <f t="shared" si="3"/>
        <v>Fallo en algo al detectar</v>
      </c>
      <c r="R27" s="35" t="str">
        <f t="shared" si="4"/>
        <v>Riesgo bajo</v>
      </c>
      <c r="S27" s="35" t="str">
        <f t="shared" si="0"/>
        <v>Posiblemente sea vulnerable</v>
      </c>
      <c r="T27" s="36"/>
      <c r="U27" s="36"/>
      <c r="V27" s="36"/>
      <c r="W27" s="36"/>
      <c r="X27" s="36"/>
      <c r="Z27" s="37">
        <v>47</v>
      </c>
      <c r="AA27" s="38">
        <v>20</v>
      </c>
      <c r="AB27" s="38" t="s">
        <v>31</v>
      </c>
      <c r="AC27" s="38" t="s">
        <v>10</v>
      </c>
      <c r="AD27" s="38" t="s">
        <v>20</v>
      </c>
      <c r="AE27" s="38" t="s">
        <v>32</v>
      </c>
      <c r="AF27" s="38" t="s">
        <v>12</v>
      </c>
      <c r="AG27" s="38" t="s">
        <v>25</v>
      </c>
      <c r="AH27" s="38" t="s">
        <v>21</v>
      </c>
      <c r="AI27" s="38" t="s">
        <v>26</v>
      </c>
      <c r="AJ27" s="38" t="s">
        <v>27</v>
      </c>
      <c r="AK27" s="38" t="s">
        <v>17</v>
      </c>
      <c r="AL27" s="38" t="s">
        <v>18</v>
      </c>
      <c r="AM27" s="38" t="s">
        <v>17</v>
      </c>
      <c r="AN27" s="39" t="s">
        <v>18</v>
      </c>
      <c r="AO27" s="44" t="str">
        <f t="shared" si="1"/>
        <v>Logro detectar todas las noticias</v>
      </c>
      <c r="AP27" s="40" t="str">
        <f t="shared" si="5"/>
        <v>Riesgo alto</v>
      </c>
      <c r="AQ27" s="41" t="str">
        <f t="shared" si="2"/>
        <v>Puede que no sea vulnerable</v>
      </c>
    </row>
    <row r="28" spans="2:43" s="37" customFormat="1" ht="60" customHeight="1" x14ac:dyDescent="0.25">
      <c r="B28" s="31">
        <v>8</v>
      </c>
      <c r="C28" s="42">
        <v>17</v>
      </c>
      <c r="D28" s="42" t="s">
        <v>8</v>
      </c>
      <c r="E28" s="42" t="s">
        <v>10</v>
      </c>
      <c r="F28" s="42" t="s">
        <v>20</v>
      </c>
      <c r="G28" s="42" t="s">
        <v>11</v>
      </c>
      <c r="H28" s="42" t="s">
        <v>12</v>
      </c>
      <c r="I28" s="42" t="s">
        <v>13</v>
      </c>
      <c r="J28" s="42" t="s">
        <v>30</v>
      </c>
      <c r="K28" s="42" t="s">
        <v>15</v>
      </c>
      <c r="L28" s="42" t="s">
        <v>16</v>
      </c>
      <c r="M28" s="42" t="s">
        <v>18</v>
      </c>
      <c r="N28" s="42" t="s">
        <v>18</v>
      </c>
      <c r="O28" s="42" t="s">
        <v>17</v>
      </c>
      <c r="P28" s="43" t="s">
        <v>18</v>
      </c>
      <c r="Q28" s="34" t="str">
        <f t="shared" si="3"/>
        <v>Fallo en algo al detectar</v>
      </c>
      <c r="R28" s="35" t="str">
        <f t="shared" si="4"/>
        <v>Riesgo bajo</v>
      </c>
      <c r="S28" s="35" t="str">
        <f t="shared" si="0"/>
        <v>Puede que no sea vulnerable</v>
      </c>
      <c r="T28" s="36"/>
      <c r="U28" s="36"/>
      <c r="V28" s="36"/>
      <c r="W28" s="36"/>
      <c r="X28" s="36"/>
      <c r="Z28" s="37">
        <v>48</v>
      </c>
      <c r="AA28" s="45">
        <v>20</v>
      </c>
      <c r="AB28" s="45" t="s">
        <v>31</v>
      </c>
      <c r="AC28" s="45" t="s">
        <v>9</v>
      </c>
      <c r="AD28" s="45" t="s">
        <v>20</v>
      </c>
      <c r="AE28" s="45" t="s">
        <v>32</v>
      </c>
      <c r="AF28" s="45" t="s">
        <v>35</v>
      </c>
      <c r="AG28" s="45" t="s">
        <v>25</v>
      </c>
      <c r="AH28" s="45" t="s">
        <v>21</v>
      </c>
      <c r="AI28" s="45" t="s">
        <v>22</v>
      </c>
      <c r="AJ28" s="45" t="s">
        <v>16</v>
      </c>
      <c r="AK28" s="45" t="s">
        <v>17</v>
      </c>
      <c r="AL28" s="45" t="s">
        <v>18</v>
      </c>
      <c r="AM28" s="45" t="s">
        <v>17</v>
      </c>
      <c r="AN28" s="46" t="s">
        <v>18</v>
      </c>
      <c r="AO28" s="44" t="str">
        <f t="shared" si="1"/>
        <v>Logro detectar todas las noticias</v>
      </c>
      <c r="AP28" s="40" t="str">
        <f t="shared" si="5"/>
        <v>Riesgo alto</v>
      </c>
      <c r="AQ28" s="41" t="str">
        <f t="shared" si="2"/>
        <v>Posiblemente sea vulnerable</v>
      </c>
    </row>
    <row r="29" spans="2:43" s="37" customFormat="1" ht="60" customHeight="1" x14ac:dyDescent="0.25">
      <c r="B29" s="31">
        <v>9</v>
      </c>
      <c r="C29" s="32">
        <v>17</v>
      </c>
      <c r="D29" s="32" t="s">
        <v>8</v>
      </c>
      <c r="E29" s="32" t="s">
        <v>9</v>
      </c>
      <c r="F29" s="32" t="s">
        <v>10</v>
      </c>
      <c r="G29" s="32" t="s">
        <v>11</v>
      </c>
      <c r="H29" s="32" t="s">
        <v>12</v>
      </c>
      <c r="I29" s="32" t="s">
        <v>13</v>
      </c>
      <c r="J29" s="32" t="s">
        <v>30</v>
      </c>
      <c r="K29" s="32" t="s">
        <v>26</v>
      </c>
      <c r="L29" s="32" t="s">
        <v>16</v>
      </c>
      <c r="M29" s="32" t="s">
        <v>17</v>
      </c>
      <c r="N29" s="32" t="s">
        <v>18</v>
      </c>
      <c r="O29" s="32" t="s">
        <v>17</v>
      </c>
      <c r="P29" s="33" t="s">
        <v>18</v>
      </c>
      <c r="Q29" s="34" t="str">
        <f t="shared" si="3"/>
        <v>Logro detectar todas las noticias</v>
      </c>
      <c r="R29" s="35" t="str">
        <f t="shared" si="4"/>
        <v>Riesgo alto</v>
      </c>
      <c r="S29" s="35" t="str">
        <f t="shared" si="0"/>
        <v>Puede que no sea vulnerable</v>
      </c>
      <c r="T29" s="36"/>
      <c r="U29" s="36"/>
      <c r="V29" s="36"/>
      <c r="W29" s="36"/>
      <c r="X29" s="36"/>
      <c r="Z29" s="37">
        <v>49</v>
      </c>
      <c r="AA29" s="38">
        <v>20</v>
      </c>
      <c r="AB29" s="38" t="s">
        <v>23</v>
      </c>
      <c r="AC29" s="38" t="s">
        <v>9</v>
      </c>
      <c r="AD29" s="38" t="s">
        <v>36</v>
      </c>
      <c r="AE29" s="38" t="s">
        <v>28</v>
      </c>
      <c r="AF29" s="38" t="s">
        <v>29</v>
      </c>
      <c r="AG29" s="38" t="s">
        <v>25</v>
      </c>
      <c r="AH29" s="38" t="s">
        <v>21</v>
      </c>
      <c r="AI29" s="38" t="s">
        <v>15</v>
      </c>
      <c r="AJ29" s="38" t="s">
        <v>27</v>
      </c>
      <c r="AK29" s="38" t="s">
        <v>17</v>
      </c>
      <c r="AL29" s="38" t="s">
        <v>18</v>
      </c>
      <c r="AM29" s="38" t="s">
        <v>17</v>
      </c>
      <c r="AN29" s="39" t="s">
        <v>18</v>
      </c>
      <c r="AO29" s="34" t="str">
        <f t="shared" si="1"/>
        <v>Logro detectar todas las noticias</v>
      </c>
      <c r="AP29" s="40" t="str">
        <f t="shared" si="5"/>
        <v>Riesgo bajo</v>
      </c>
      <c r="AQ29" s="41" t="str">
        <f t="shared" si="2"/>
        <v>Puede que no sea vulnerable</v>
      </c>
    </row>
    <row r="30" spans="2:43" s="37" customFormat="1" ht="60" customHeight="1" x14ac:dyDescent="0.25">
      <c r="B30" s="31">
        <v>10</v>
      </c>
      <c r="C30" s="42">
        <v>17</v>
      </c>
      <c r="D30" s="42" t="s">
        <v>23</v>
      </c>
      <c r="E30" s="42" t="s">
        <v>10</v>
      </c>
      <c r="F30" s="42" t="s">
        <v>10</v>
      </c>
      <c r="G30" s="42" t="s">
        <v>11</v>
      </c>
      <c r="H30" s="42" t="s">
        <v>29</v>
      </c>
      <c r="I30" s="42" t="s">
        <v>13</v>
      </c>
      <c r="J30" s="42" t="s">
        <v>30</v>
      </c>
      <c r="K30" s="42" t="s">
        <v>22</v>
      </c>
      <c r="L30" s="42" t="s">
        <v>16</v>
      </c>
      <c r="M30" s="42" t="s">
        <v>18</v>
      </c>
      <c r="N30" s="42" t="s">
        <v>18</v>
      </c>
      <c r="O30" s="42" t="s">
        <v>17</v>
      </c>
      <c r="P30" s="43" t="s">
        <v>17</v>
      </c>
      <c r="Q30" s="34" t="str">
        <f t="shared" si="3"/>
        <v>Fallo en algo al detectar</v>
      </c>
      <c r="R30" s="35" t="str">
        <f t="shared" si="4"/>
        <v>Riesgo alto</v>
      </c>
      <c r="S30" s="35" t="str">
        <f t="shared" si="0"/>
        <v>Puede que no sea vulnerable</v>
      </c>
      <c r="T30" s="36"/>
      <c r="U30" s="36"/>
      <c r="V30" s="36"/>
      <c r="W30" s="36"/>
      <c r="X30" s="36"/>
      <c r="Z30" s="37">
        <v>50</v>
      </c>
      <c r="AA30" s="45">
        <v>20</v>
      </c>
      <c r="AB30" s="45" t="s">
        <v>31</v>
      </c>
      <c r="AC30" s="45" t="s">
        <v>9</v>
      </c>
      <c r="AD30" s="45" t="s">
        <v>20</v>
      </c>
      <c r="AE30" s="45" t="s">
        <v>11</v>
      </c>
      <c r="AF30" s="45" t="s">
        <v>29</v>
      </c>
      <c r="AG30" s="45" t="s">
        <v>13</v>
      </c>
      <c r="AH30" s="45" t="s">
        <v>21</v>
      </c>
      <c r="AI30" s="45" t="s">
        <v>15</v>
      </c>
      <c r="AJ30" s="45" t="s">
        <v>27</v>
      </c>
      <c r="AK30" s="45" t="s">
        <v>17</v>
      </c>
      <c r="AL30" s="45" t="s">
        <v>18</v>
      </c>
      <c r="AM30" s="45" t="s">
        <v>17</v>
      </c>
      <c r="AN30" s="46" t="s">
        <v>17</v>
      </c>
      <c r="AO30" s="44" t="str">
        <f t="shared" si="1"/>
        <v>Fallo en algo al detectar</v>
      </c>
      <c r="AP30" s="40" t="str">
        <f t="shared" si="5"/>
        <v>Riesgo bajo</v>
      </c>
      <c r="AQ30" s="41" t="str">
        <f t="shared" si="2"/>
        <v>Posiblemente sea vulnerable</v>
      </c>
    </row>
    <row r="31" spans="2:43" s="37" customFormat="1" ht="60" customHeight="1" x14ac:dyDescent="0.25">
      <c r="B31" s="31">
        <v>11</v>
      </c>
      <c r="C31" s="32">
        <v>17</v>
      </c>
      <c r="D31" s="32" t="s">
        <v>8</v>
      </c>
      <c r="E31" s="32" t="s">
        <v>9</v>
      </c>
      <c r="F31" s="32" t="s">
        <v>36</v>
      </c>
      <c r="G31" s="32" t="s">
        <v>32</v>
      </c>
      <c r="H31" s="32" t="s">
        <v>29</v>
      </c>
      <c r="I31" s="32" t="s">
        <v>13</v>
      </c>
      <c r="J31" s="32" t="s">
        <v>21</v>
      </c>
      <c r="K31" s="32" t="s">
        <v>26</v>
      </c>
      <c r="L31" s="32" t="s">
        <v>27</v>
      </c>
      <c r="M31" s="32" t="s">
        <v>17</v>
      </c>
      <c r="N31" s="32" t="s">
        <v>18</v>
      </c>
      <c r="O31" s="32" t="s">
        <v>17</v>
      </c>
      <c r="P31" s="33" t="s">
        <v>18</v>
      </c>
      <c r="Q31" s="34" t="str">
        <f t="shared" si="3"/>
        <v>Logro detectar todas las noticias</v>
      </c>
      <c r="R31" s="35" t="str">
        <f t="shared" si="4"/>
        <v>Riesgo alto</v>
      </c>
      <c r="S31" s="35" t="str">
        <f t="shared" si="0"/>
        <v>Posiblemente sea vulnerable</v>
      </c>
      <c r="T31" s="36"/>
      <c r="U31" s="36"/>
      <c r="V31" s="36"/>
      <c r="W31" s="36"/>
      <c r="X31" s="36"/>
      <c r="Z31" s="37">
        <v>51</v>
      </c>
      <c r="AA31" s="38">
        <v>20</v>
      </c>
      <c r="AB31" s="38" t="s">
        <v>31</v>
      </c>
      <c r="AC31" s="38" t="s">
        <v>10</v>
      </c>
      <c r="AD31" s="38" t="s">
        <v>20</v>
      </c>
      <c r="AE31" s="38" t="s">
        <v>28</v>
      </c>
      <c r="AF31" s="38" t="s">
        <v>12</v>
      </c>
      <c r="AG31" s="38" t="s">
        <v>13</v>
      </c>
      <c r="AH31" s="38" t="s">
        <v>14</v>
      </c>
      <c r="AI31" s="38" t="s">
        <v>22</v>
      </c>
      <c r="AJ31" s="38" t="s">
        <v>27</v>
      </c>
      <c r="AK31" s="38" t="s">
        <v>17</v>
      </c>
      <c r="AL31" s="38" t="s">
        <v>18</v>
      </c>
      <c r="AM31" s="38" t="s">
        <v>17</v>
      </c>
      <c r="AN31" s="39" t="s">
        <v>18</v>
      </c>
      <c r="AO31" s="34" t="str">
        <f t="shared" si="1"/>
        <v>Logro detectar todas las noticias</v>
      </c>
      <c r="AP31" s="40" t="str">
        <f t="shared" si="5"/>
        <v>Riesgo bajo</v>
      </c>
      <c r="AQ31" s="41" t="str">
        <f t="shared" si="2"/>
        <v>Puede que no sea vulnerable</v>
      </c>
    </row>
    <row r="32" spans="2:43" s="37" customFormat="1" ht="60" customHeight="1" x14ac:dyDescent="0.25">
      <c r="B32" s="31">
        <v>12</v>
      </c>
      <c r="C32" s="42">
        <v>18</v>
      </c>
      <c r="D32" s="42" t="s">
        <v>8</v>
      </c>
      <c r="E32" s="42" t="s">
        <v>9</v>
      </c>
      <c r="F32" s="42" t="s">
        <v>10</v>
      </c>
      <c r="G32" s="42" t="s">
        <v>11</v>
      </c>
      <c r="H32" s="42" t="s">
        <v>12</v>
      </c>
      <c r="I32" s="42" t="s">
        <v>13</v>
      </c>
      <c r="J32" s="42" t="s">
        <v>14</v>
      </c>
      <c r="K32" s="42" t="s">
        <v>15</v>
      </c>
      <c r="L32" s="42" t="s">
        <v>16</v>
      </c>
      <c r="M32" s="42" t="s">
        <v>17</v>
      </c>
      <c r="N32" s="42" t="s">
        <v>18</v>
      </c>
      <c r="O32" s="42" t="s">
        <v>17</v>
      </c>
      <c r="P32" s="43" t="s">
        <v>18</v>
      </c>
      <c r="Q32" s="34" t="str">
        <f t="shared" si="3"/>
        <v>Logro detectar todas las noticias</v>
      </c>
      <c r="R32" s="35" t="str">
        <f t="shared" si="4"/>
        <v>Riesgo alto</v>
      </c>
      <c r="S32" s="35" t="str">
        <f t="shared" si="0"/>
        <v>Puede que no sea vulnerable</v>
      </c>
      <c r="T32" s="36"/>
      <c r="U32" s="36"/>
      <c r="V32" s="36"/>
      <c r="W32" s="36"/>
      <c r="X32" s="36"/>
      <c r="Z32" s="37">
        <v>52</v>
      </c>
      <c r="AA32" s="45">
        <v>21</v>
      </c>
      <c r="AB32" s="45" t="s">
        <v>34</v>
      </c>
      <c r="AC32" s="45" t="s">
        <v>10</v>
      </c>
      <c r="AD32" s="45" t="s">
        <v>36</v>
      </c>
      <c r="AE32" s="45" t="s">
        <v>11</v>
      </c>
      <c r="AF32" s="45" t="s">
        <v>12</v>
      </c>
      <c r="AG32" s="45" t="s">
        <v>13</v>
      </c>
      <c r="AH32" s="45" t="s">
        <v>21</v>
      </c>
      <c r="AI32" s="45" t="s">
        <v>15</v>
      </c>
      <c r="AJ32" s="45" t="s">
        <v>27</v>
      </c>
      <c r="AK32" s="45" t="s">
        <v>18</v>
      </c>
      <c r="AL32" s="45" t="s">
        <v>18</v>
      </c>
      <c r="AM32" s="45" t="s">
        <v>17</v>
      </c>
      <c r="AN32" s="46" t="s">
        <v>18</v>
      </c>
      <c r="AO32" s="34" t="str">
        <f t="shared" si="1"/>
        <v>Fallo en algo al detectar</v>
      </c>
      <c r="AP32" s="40" t="str">
        <f t="shared" si="5"/>
        <v>Riesgo bajo</v>
      </c>
      <c r="AQ32" s="41" t="str">
        <f t="shared" si="2"/>
        <v>Puede que no sea vulnerable</v>
      </c>
    </row>
    <row r="33" spans="2:43" s="37" customFormat="1" ht="60" customHeight="1" x14ac:dyDescent="0.25">
      <c r="B33" s="31">
        <v>13</v>
      </c>
      <c r="C33" s="32">
        <v>18</v>
      </c>
      <c r="D33" s="32" t="s">
        <v>19</v>
      </c>
      <c r="E33" s="32" t="s">
        <v>10</v>
      </c>
      <c r="F33" s="32" t="s">
        <v>20</v>
      </c>
      <c r="G33" s="32" t="s">
        <v>11</v>
      </c>
      <c r="H33" s="32" t="s">
        <v>12</v>
      </c>
      <c r="I33" s="32" t="s">
        <v>13</v>
      </c>
      <c r="J33" s="32" t="s">
        <v>21</v>
      </c>
      <c r="K33" s="32" t="s">
        <v>22</v>
      </c>
      <c r="L33" s="32" t="s">
        <v>16</v>
      </c>
      <c r="M33" s="32" t="s">
        <v>17</v>
      </c>
      <c r="N33" s="32" t="s">
        <v>18</v>
      </c>
      <c r="O33" s="32" t="s">
        <v>17</v>
      </c>
      <c r="P33" s="33" t="s">
        <v>18</v>
      </c>
      <c r="Q33" s="34" t="str">
        <f t="shared" si="3"/>
        <v>Logro detectar todas las noticias</v>
      </c>
      <c r="R33" s="35" t="str">
        <f t="shared" si="4"/>
        <v>Riesgo bajo</v>
      </c>
      <c r="S33" s="35" t="str">
        <f t="shared" si="0"/>
        <v>Puede que no sea vulnerable</v>
      </c>
      <c r="T33" s="36"/>
      <c r="U33" s="36"/>
      <c r="V33" s="36"/>
      <c r="W33" s="36"/>
      <c r="X33" s="36"/>
      <c r="Z33" s="37">
        <v>53</v>
      </c>
      <c r="AA33" s="38">
        <v>22</v>
      </c>
      <c r="AB33" s="38" t="s">
        <v>23</v>
      </c>
      <c r="AC33" s="38" t="s">
        <v>10</v>
      </c>
      <c r="AD33" s="38" t="s">
        <v>20</v>
      </c>
      <c r="AE33" s="38" t="s">
        <v>11</v>
      </c>
      <c r="AF33" s="38" t="s">
        <v>29</v>
      </c>
      <c r="AG33" s="38" t="s">
        <v>13</v>
      </c>
      <c r="AH33" s="38" t="s">
        <v>21</v>
      </c>
      <c r="AI33" s="38" t="s">
        <v>22</v>
      </c>
      <c r="AJ33" s="38" t="s">
        <v>27</v>
      </c>
      <c r="AK33" s="38" t="s">
        <v>17</v>
      </c>
      <c r="AL33" s="38" t="s">
        <v>18</v>
      </c>
      <c r="AM33" s="38" t="s">
        <v>17</v>
      </c>
      <c r="AN33" s="39" t="s">
        <v>18</v>
      </c>
      <c r="AO33" s="34" t="str">
        <f t="shared" si="1"/>
        <v>Logro detectar todas las noticias</v>
      </c>
      <c r="AP33" s="40" t="str">
        <f t="shared" si="5"/>
        <v>Riesgo bajo</v>
      </c>
      <c r="AQ33" s="41" t="str">
        <f t="shared" si="2"/>
        <v>Puede que no sea vulnerable</v>
      </c>
    </row>
    <row r="34" spans="2:43" s="37" customFormat="1" ht="60" customHeight="1" x14ac:dyDescent="0.25">
      <c r="B34" s="31">
        <v>14</v>
      </c>
      <c r="C34" s="42">
        <v>18</v>
      </c>
      <c r="D34" s="42" t="s">
        <v>23</v>
      </c>
      <c r="E34" s="42" t="s">
        <v>24</v>
      </c>
      <c r="F34" s="42" t="s">
        <v>10</v>
      </c>
      <c r="G34" s="42" t="s">
        <v>11</v>
      </c>
      <c r="H34" s="42" t="s">
        <v>12</v>
      </c>
      <c r="I34" s="42" t="s">
        <v>25</v>
      </c>
      <c r="J34" s="42" t="s">
        <v>21</v>
      </c>
      <c r="K34" s="42" t="s">
        <v>26</v>
      </c>
      <c r="L34" s="42" t="s">
        <v>27</v>
      </c>
      <c r="M34" s="42" t="s">
        <v>18</v>
      </c>
      <c r="N34" s="42" t="s">
        <v>17</v>
      </c>
      <c r="O34" s="42" t="s">
        <v>17</v>
      </c>
      <c r="P34" s="43" t="s">
        <v>17</v>
      </c>
      <c r="Q34" s="34" t="str">
        <f t="shared" si="3"/>
        <v>Fallo en algo al detectar</v>
      </c>
      <c r="R34" s="35" t="str">
        <f t="shared" si="4"/>
        <v>Riesgo alto</v>
      </c>
      <c r="S34" s="35" t="str">
        <f t="shared" si="0"/>
        <v>Puede que no sea vulnerable</v>
      </c>
      <c r="T34" s="36"/>
      <c r="U34" s="36"/>
      <c r="V34" s="36"/>
      <c r="W34" s="36"/>
      <c r="X34" s="36"/>
      <c r="Z34" s="37">
        <v>54</v>
      </c>
      <c r="AA34" s="45">
        <v>22</v>
      </c>
      <c r="AB34" s="45" t="s">
        <v>23</v>
      </c>
      <c r="AC34" s="45" t="s">
        <v>10</v>
      </c>
      <c r="AD34" s="45" t="s">
        <v>20</v>
      </c>
      <c r="AE34" s="45" t="s">
        <v>11</v>
      </c>
      <c r="AF34" s="45" t="s">
        <v>29</v>
      </c>
      <c r="AG34" s="45" t="s">
        <v>13</v>
      </c>
      <c r="AH34" s="45" t="s">
        <v>21</v>
      </c>
      <c r="AI34" s="45" t="s">
        <v>22</v>
      </c>
      <c r="AJ34" s="45" t="s">
        <v>27</v>
      </c>
      <c r="AK34" s="45" t="s">
        <v>17</v>
      </c>
      <c r="AL34" s="45" t="s">
        <v>18</v>
      </c>
      <c r="AM34" s="45" t="s">
        <v>17</v>
      </c>
      <c r="AN34" s="46" t="s">
        <v>18</v>
      </c>
      <c r="AO34" s="44" t="str">
        <f t="shared" si="1"/>
        <v>Logro detectar todas las noticias</v>
      </c>
      <c r="AP34" s="40" t="str">
        <f t="shared" si="5"/>
        <v>Riesgo bajo</v>
      </c>
      <c r="AQ34" s="41" t="str">
        <f t="shared" si="2"/>
        <v>Puede que no sea vulnerable</v>
      </c>
    </row>
    <row r="35" spans="2:43" s="37" customFormat="1" ht="60" customHeight="1" x14ac:dyDescent="0.25">
      <c r="B35" s="31">
        <v>15</v>
      </c>
      <c r="C35" s="32">
        <v>18</v>
      </c>
      <c r="D35" s="32" t="s">
        <v>23</v>
      </c>
      <c r="E35" s="32" t="s">
        <v>10</v>
      </c>
      <c r="F35" s="32" t="s">
        <v>20</v>
      </c>
      <c r="G35" s="32" t="s">
        <v>28</v>
      </c>
      <c r="H35" s="32" t="s">
        <v>29</v>
      </c>
      <c r="I35" s="32" t="s">
        <v>13</v>
      </c>
      <c r="J35" s="32" t="s">
        <v>30</v>
      </c>
      <c r="K35" s="32" t="s">
        <v>22</v>
      </c>
      <c r="L35" s="32" t="s">
        <v>27</v>
      </c>
      <c r="M35" s="32" t="s">
        <v>18</v>
      </c>
      <c r="N35" s="32" t="s">
        <v>18</v>
      </c>
      <c r="O35" s="32" t="s">
        <v>17</v>
      </c>
      <c r="P35" s="33" t="s">
        <v>18</v>
      </c>
      <c r="Q35" s="34" t="str">
        <f t="shared" si="3"/>
        <v>Fallo en algo al detectar</v>
      </c>
      <c r="R35" s="35" t="str">
        <f t="shared" si="4"/>
        <v>Riesgo bajo</v>
      </c>
      <c r="S35" s="35" t="str">
        <f t="shared" si="0"/>
        <v>Puede que no sea vulnerable</v>
      </c>
      <c r="T35" s="36"/>
      <c r="U35" s="36"/>
      <c r="V35" s="36"/>
      <c r="W35" s="36"/>
      <c r="X35" s="36"/>
      <c r="Z35" s="37">
        <v>55</v>
      </c>
      <c r="AA35" s="38">
        <v>22</v>
      </c>
      <c r="AB35" s="38" t="s">
        <v>23</v>
      </c>
      <c r="AC35" s="38" t="s">
        <v>9</v>
      </c>
      <c r="AD35" s="38" t="s">
        <v>10</v>
      </c>
      <c r="AE35" s="38" t="s">
        <v>11</v>
      </c>
      <c r="AF35" s="38" t="s">
        <v>29</v>
      </c>
      <c r="AG35" s="38" t="s">
        <v>13</v>
      </c>
      <c r="AH35" s="38" t="s">
        <v>21</v>
      </c>
      <c r="AI35" s="38" t="s">
        <v>26</v>
      </c>
      <c r="AJ35" s="38" t="s">
        <v>37</v>
      </c>
      <c r="AK35" s="38" t="s">
        <v>17</v>
      </c>
      <c r="AL35" s="38" t="s">
        <v>18</v>
      </c>
      <c r="AM35" s="38" t="s">
        <v>17</v>
      </c>
      <c r="AN35" s="39" t="s">
        <v>18</v>
      </c>
      <c r="AO35" s="34" t="str">
        <f t="shared" si="1"/>
        <v>Logro detectar todas las noticias</v>
      </c>
      <c r="AP35" s="40" t="str">
        <f t="shared" si="5"/>
        <v>Riesgo alto</v>
      </c>
      <c r="AQ35" s="41" t="str">
        <f t="shared" si="2"/>
        <v>Puede que no sea vulnerable</v>
      </c>
    </row>
    <row r="36" spans="2:43" s="37" customFormat="1" ht="60" customHeight="1" x14ac:dyDescent="0.25">
      <c r="B36" s="31">
        <v>16</v>
      </c>
      <c r="C36" s="42">
        <v>18</v>
      </c>
      <c r="D36" s="42" t="s">
        <v>39</v>
      </c>
      <c r="E36" s="42" t="s">
        <v>9</v>
      </c>
      <c r="F36" s="42" t="s">
        <v>20</v>
      </c>
      <c r="G36" s="42" t="s">
        <v>11</v>
      </c>
      <c r="H36" s="42" t="s">
        <v>29</v>
      </c>
      <c r="I36" s="42" t="s">
        <v>13</v>
      </c>
      <c r="J36" s="42" t="s">
        <v>30</v>
      </c>
      <c r="K36" s="42" t="s">
        <v>22</v>
      </c>
      <c r="L36" s="42" t="s">
        <v>27</v>
      </c>
      <c r="M36" s="42" t="s">
        <v>17</v>
      </c>
      <c r="N36" s="42" t="s">
        <v>18</v>
      </c>
      <c r="O36" s="42" t="s">
        <v>17</v>
      </c>
      <c r="P36" s="43" t="s">
        <v>17</v>
      </c>
      <c r="Q36" s="34" t="str">
        <f t="shared" si="3"/>
        <v>Fallo en algo al detectar</v>
      </c>
      <c r="R36" s="35" t="str">
        <f t="shared" si="4"/>
        <v>Riesgo bajo</v>
      </c>
      <c r="S36" s="35" t="str">
        <f t="shared" si="0"/>
        <v>Posiblemente sea vulnerable</v>
      </c>
      <c r="T36" s="36"/>
      <c r="U36" s="36"/>
      <c r="V36" s="36"/>
      <c r="W36" s="36"/>
      <c r="X36" s="36"/>
      <c r="Z36" s="37">
        <v>56</v>
      </c>
      <c r="AA36" s="45">
        <v>24</v>
      </c>
      <c r="AB36" s="45" t="s">
        <v>23</v>
      </c>
      <c r="AC36" s="45" t="s">
        <v>10</v>
      </c>
      <c r="AD36" s="45" t="s">
        <v>20</v>
      </c>
      <c r="AE36" s="45" t="s">
        <v>11</v>
      </c>
      <c r="AF36" s="45" t="s">
        <v>12</v>
      </c>
      <c r="AG36" s="45" t="s">
        <v>13</v>
      </c>
      <c r="AH36" s="45" t="s">
        <v>30</v>
      </c>
      <c r="AI36" s="45" t="s">
        <v>22</v>
      </c>
      <c r="AJ36" s="45" t="s">
        <v>27</v>
      </c>
      <c r="AK36" s="45" t="s">
        <v>17</v>
      </c>
      <c r="AL36" s="45" t="s">
        <v>18</v>
      </c>
      <c r="AM36" s="45" t="s">
        <v>17</v>
      </c>
      <c r="AN36" s="46" t="s">
        <v>18</v>
      </c>
      <c r="AO36" s="44" t="str">
        <f t="shared" si="1"/>
        <v>Logro detectar todas las noticias</v>
      </c>
      <c r="AP36" s="40" t="str">
        <f t="shared" si="5"/>
        <v>Riesgo bajo</v>
      </c>
      <c r="AQ36" s="41" t="str">
        <f t="shared" si="2"/>
        <v>Puede que no sea vulnerable</v>
      </c>
    </row>
    <row r="37" spans="2:43" s="37" customFormat="1" ht="60" customHeight="1" x14ac:dyDescent="0.25">
      <c r="B37" s="31">
        <v>17</v>
      </c>
      <c r="C37" s="32">
        <v>18</v>
      </c>
      <c r="D37" s="32" t="s">
        <v>31</v>
      </c>
      <c r="E37" s="32" t="s">
        <v>10</v>
      </c>
      <c r="F37" s="32" t="s">
        <v>20</v>
      </c>
      <c r="G37" s="32" t="s">
        <v>11</v>
      </c>
      <c r="H37" s="32" t="s">
        <v>12</v>
      </c>
      <c r="I37" s="32" t="s">
        <v>13</v>
      </c>
      <c r="J37" s="32" t="s">
        <v>30</v>
      </c>
      <c r="K37" s="32" t="s">
        <v>15</v>
      </c>
      <c r="L37" s="32" t="s">
        <v>16</v>
      </c>
      <c r="M37" s="32" t="s">
        <v>18</v>
      </c>
      <c r="N37" s="32" t="s">
        <v>17</v>
      </c>
      <c r="O37" s="32" t="s">
        <v>18</v>
      </c>
      <c r="P37" s="33" t="s">
        <v>17</v>
      </c>
      <c r="Q37" s="34" t="str">
        <f t="shared" si="3"/>
        <v>Fallo en algo al detectar</v>
      </c>
      <c r="R37" s="35" t="str">
        <f t="shared" si="4"/>
        <v>Riesgo bajo</v>
      </c>
      <c r="S37" s="35" t="str">
        <f t="shared" si="0"/>
        <v>Puede que no sea vulnerable</v>
      </c>
      <c r="T37" s="36"/>
      <c r="U37" s="36"/>
      <c r="V37" s="36"/>
      <c r="W37" s="36"/>
      <c r="X37" s="36"/>
      <c r="Z37" s="37">
        <v>57</v>
      </c>
      <c r="AA37" s="38">
        <v>24</v>
      </c>
      <c r="AB37" s="38" t="s">
        <v>102</v>
      </c>
      <c r="AC37" s="38" t="s">
        <v>10</v>
      </c>
      <c r="AD37" s="38" t="s">
        <v>10</v>
      </c>
      <c r="AE37" s="38" t="s">
        <v>11</v>
      </c>
      <c r="AF37" s="38" t="s">
        <v>29</v>
      </c>
      <c r="AG37" s="38" t="s">
        <v>13</v>
      </c>
      <c r="AH37" s="38" t="s">
        <v>21</v>
      </c>
      <c r="AI37" s="38" t="s">
        <v>15</v>
      </c>
      <c r="AJ37" s="38" t="s">
        <v>27</v>
      </c>
      <c r="AK37" s="38" t="s">
        <v>17</v>
      </c>
      <c r="AL37" s="38" t="s">
        <v>18</v>
      </c>
      <c r="AM37" s="38" t="s">
        <v>17</v>
      </c>
      <c r="AN37" s="39" t="s">
        <v>18</v>
      </c>
      <c r="AO37" s="44" t="str">
        <f t="shared" si="1"/>
        <v>Logro detectar todas las noticias</v>
      </c>
      <c r="AP37" s="40" t="str">
        <f t="shared" si="5"/>
        <v>Riesgo alto</v>
      </c>
      <c r="AQ37" s="41" t="str">
        <f t="shared" si="2"/>
        <v>Puede que no sea vulnerable</v>
      </c>
    </row>
    <row r="38" spans="2:43" s="37" customFormat="1" ht="60" customHeight="1" x14ac:dyDescent="0.25">
      <c r="B38" s="31">
        <v>18</v>
      </c>
      <c r="C38" s="42">
        <v>18</v>
      </c>
      <c r="D38" s="42" t="s">
        <v>8</v>
      </c>
      <c r="E38" s="42" t="s">
        <v>9</v>
      </c>
      <c r="F38" s="42" t="s">
        <v>20</v>
      </c>
      <c r="G38" s="42" t="s">
        <v>11</v>
      </c>
      <c r="H38" s="42" t="s">
        <v>29</v>
      </c>
      <c r="I38" s="42" t="s">
        <v>13</v>
      </c>
      <c r="J38" s="42" t="s">
        <v>30</v>
      </c>
      <c r="K38" s="42" t="s">
        <v>22</v>
      </c>
      <c r="L38" s="42" t="s">
        <v>16</v>
      </c>
      <c r="M38" s="42" t="s">
        <v>17</v>
      </c>
      <c r="N38" s="42" t="s">
        <v>18</v>
      </c>
      <c r="O38" s="42" t="s">
        <v>18</v>
      </c>
      <c r="P38" s="43" t="s">
        <v>18</v>
      </c>
      <c r="Q38" s="34" t="str">
        <f t="shared" si="3"/>
        <v>Fallo en algo al detectar</v>
      </c>
      <c r="R38" s="35" t="str">
        <f t="shared" si="4"/>
        <v>Riesgo bajo</v>
      </c>
      <c r="S38" s="35" t="str">
        <f t="shared" si="0"/>
        <v>Posiblemente sea vulnerable</v>
      </c>
      <c r="T38" s="36"/>
      <c r="U38" s="36"/>
      <c r="V38" s="36"/>
      <c r="W38" s="36"/>
      <c r="X38" s="36"/>
      <c r="Z38" s="37">
        <v>58</v>
      </c>
      <c r="AA38" s="45">
        <v>24</v>
      </c>
      <c r="AB38" s="45" t="s">
        <v>19</v>
      </c>
      <c r="AC38" s="45" t="s">
        <v>10</v>
      </c>
      <c r="AD38" s="45" t="s">
        <v>20</v>
      </c>
      <c r="AE38" s="45" t="s">
        <v>32</v>
      </c>
      <c r="AF38" s="45" t="s">
        <v>12</v>
      </c>
      <c r="AG38" s="45" t="s">
        <v>13</v>
      </c>
      <c r="AH38" s="45" t="s">
        <v>30</v>
      </c>
      <c r="AI38" s="45" t="s">
        <v>15</v>
      </c>
      <c r="AJ38" s="45" t="s">
        <v>33</v>
      </c>
      <c r="AK38" s="45" t="s">
        <v>18</v>
      </c>
      <c r="AL38" s="45" t="s">
        <v>18</v>
      </c>
      <c r="AM38" s="45" t="s">
        <v>17</v>
      </c>
      <c r="AN38" s="46" t="s">
        <v>18</v>
      </c>
      <c r="AO38" s="44" t="str">
        <f t="shared" si="1"/>
        <v>Fallo en algo al detectar</v>
      </c>
      <c r="AP38" s="40" t="str">
        <f t="shared" si="5"/>
        <v>Riesgo alto</v>
      </c>
      <c r="AQ38" s="41" t="str">
        <f t="shared" si="2"/>
        <v>Puede que no sea vulnerable</v>
      </c>
    </row>
    <row r="39" spans="2:43" s="37" customFormat="1" ht="60" customHeight="1" x14ac:dyDescent="0.25">
      <c r="B39" s="31">
        <v>19</v>
      </c>
      <c r="C39" s="32">
        <v>18</v>
      </c>
      <c r="D39" s="32" t="s">
        <v>8</v>
      </c>
      <c r="E39" s="32" t="s">
        <v>24</v>
      </c>
      <c r="F39" s="32" t="s">
        <v>10</v>
      </c>
      <c r="G39" s="32" t="s">
        <v>11</v>
      </c>
      <c r="H39" s="32" t="s">
        <v>29</v>
      </c>
      <c r="I39" s="32" t="s">
        <v>25</v>
      </c>
      <c r="J39" s="32" t="s">
        <v>14</v>
      </c>
      <c r="K39" s="32" t="s">
        <v>15</v>
      </c>
      <c r="L39" s="32" t="s">
        <v>27</v>
      </c>
      <c r="M39" s="32" t="s">
        <v>18</v>
      </c>
      <c r="N39" s="32" t="s">
        <v>18</v>
      </c>
      <c r="O39" s="32" t="s">
        <v>18</v>
      </c>
      <c r="P39" s="33" t="s">
        <v>17</v>
      </c>
      <c r="Q39" s="34" t="str">
        <f t="shared" si="3"/>
        <v>Fallo en algo al detectar</v>
      </c>
      <c r="R39" s="35" t="str">
        <f t="shared" si="4"/>
        <v>Riesgo alto</v>
      </c>
      <c r="S39" s="35" t="str">
        <f t="shared" si="0"/>
        <v>Puede que no sea vulnerable</v>
      </c>
      <c r="T39" s="36"/>
      <c r="U39" s="36"/>
      <c r="V39" s="36"/>
      <c r="W39" s="36"/>
      <c r="X39" s="36"/>
      <c r="Z39" s="37">
        <v>59</v>
      </c>
      <c r="AA39" s="38">
        <v>27</v>
      </c>
      <c r="AB39" s="38" t="s">
        <v>8</v>
      </c>
      <c r="AC39" s="38" t="s">
        <v>24</v>
      </c>
      <c r="AD39" s="38" t="s">
        <v>10</v>
      </c>
      <c r="AE39" s="38" t="s">
        <v>11</v>
      </c>
      <c r="AF39" s="38" t="s">
        <v>35</v>
      </c>
      <c r="AG39" s="38" t="s">
        <v>13</v>
      </c>
      <c r="AH39" s="38" t="s">
        <v>30</v>
      </c>
      <c r="AI39" s="38" t="s">
        <v>15</v>
      </c>
      <c r="AJ39" s="38" t="s">
        <v>27</v>
      </c>
      <c r="AK39" s="38" t="s">
        <v>18</v>
      </c>
      <c r="AL39" s="38" t="s">
        <v>18</v>
      </c>
      <c r="AM39" s="38" t="s">
        <v>17</v>
      </c>
      <c r="AN39" s="39" t="s">
        <v>18</v>
      </c>
      <c r="AO39" s="44" t="str">
        <f t="shared" si="1"/>
        <v>Fallo en algo al detectar</v>
      </c>
      <c r="AP39" s="40" t="str">
        <f t="shared" si="5"/>
        <v>Riesgo alto</v>
      </c>
      <c r="AQ39" s="41" t="str">
        <f t="shared" si="2"/>
        <v>Puede que no sea vulnerable</v>
      </c>
    </row>
    <row r="40" spans="2:43" s="37" customFormat="1" ht="60" customHeight="1" x14ac:dyDescent="0.25">
      <c r="B40" s="31">
        <v>20</v>
      </c>
      <c r="C40" s="42">
        <v>18</v>
      </c>
      <c r="D40" s="42" t="s">
        <v>23</v>
      </c>
      <c r="E40" s="42" t="s">
        <v>10</v>
      </c>
      <c r="F40" s="42" t="s">
        <v>20</v>
      </c>
      <c r="G40" s="42" t="s">
        <v>11</v>
      </c>
      <c r="H40" s="42" t="s">
        <v>29</v>
      </c>
      <c r="I40" s="42" t="s">
        <v>13</v>
      </c>
      <c r="J40" s="42" t="s">
        <v>30</v>
      </c>
      <c r="K40" s="42" t="s">
        <v>15</v>
      </c>
      <c r="L40" s="42" t="s">
        <v>16</v>
      </c>
      <c r="M40" s="42" t="s">
        <v>18</v>
      </c>
      <c r="N40" s="42" t="s">
        <v>18</v>
      </c>
      <c r="O40" s="42" t="s">
        <v>18</v>
      </c>
      <c r="P40" s="43" t="s">
        <v>18</v>
      </c>
      <c r="Q40" s="34" t="str">
        <f t="shared" si="3"/>
        <v>Fallo en algo al detectar</v>
      </c>
      <c r="R40" s="35" t="str">
        <f t="shared" si="4"/>
        <v>Riesgo bajo</v>
      </c>
      <c r="S40" s="35" t="str">
        <f t="shared" si="0"/>
        <v>Puede que no sea vulnerable</v>
      </c>
      <c r="T40" s="36"/>
      <c r="U40" s="36"/>
      <c r="V40" s="36"/>
      <c r="W40" s="36"/>
      <c r="X40" s="36"/>
      <c r="Z40" s="37">
        <v>60</v>
      </c>
      <c r="AA40" s="45">
        <v>28</v>
      </c>
      <c r="AB40" s="45" t="s">
        <v>23</v>
      </c>
      <c r="AC40" s="45" t="s">
        <v>9</v>
      </c>
      <c r="AD40" s="45" t="s">
        <v>20</v>
      </c>
      <c r="AE40" s="45" t="s">
        <v>11</v>
      </c>
      <c r="AF40" s="45" t="s">
        <v>29</v>
      </c>
      <c r="AG40" s="45" t="s">
        <v>13</v>
      </c>
      <c r="AH40" s="45" t="s">
        <v>21</v>
      </c>
      <c r="AI40" s="45" t="s">
        <v>26</v>
      </c>
      <c r="AJ40" s="45" t="s">
        <v>27</v>
      </c>
      <c r="AK40" s="45" t="s">
        <v>17</v>
      </c>
      <c r="AL40" s="45" t="s">
        <v>17</v>
      </c>
      <c r="AM40" s="45" t="s">
        <v>18</v>
      </c>
      <c r="AN40" s="46" t="s">
        <v>18</v>
      </c>
      <c r="AO40" s="44" t="str">
        <f t="shared" si="1"/>
        <v>Fallo en algo al detectar</v>
      </c>
      <c r="AP40" s="40" t="str">
        <f t="shared" si="5"/>
        <v>Riesgo bajo</v>
      </c>
      <c r="AQ40" s="41" t="str">
        <f t="shared" si="2"/>
        <v>Posiblemente sea vulnerable</v>
      </c>
    </row>
    <row r="41" spans="2:43" s="37" customFormat="1" ht="60" customHeight="1" x14ac:dyDescent="0.25">
      <c r="B41" s="31">
        <v>21</v>
      </c>
      <c r="C41" s="32">
        <v>18</v>
      </c>
      <c r="D41" s="32" t="s">
        <v>8</v>
      </c>
      <c r="E41" s="32" t="s">
        <v>24</v>
      </c>
      <c r="F41" s="32" t="s">
        <v>20</v>
      </c>
      <c r="G41" s="32" t="s">
        <v>32</v>
      </c>
      <c r="H41" s="32" t="s">
        <v>12</v>
      </c>
      <c r="I41" s="32" t="s">
        <v>13</v>
      </c>
      <c r="J41" s="32" t="s">
        <v>30</v>
      </c>
      <c r="K41" s="32" t="s">
        <v>26</v>
      </c>
      <c r="L41" s="32" t="s">
        <v>33</v>
      </c>
      <c r="M41" s="32" t="s">
        <v>17</v>
      </c>
      <c r="N41" s="32" t="s">
        <v>18</v>
      </c>
      <c r="O41" s="32" t="s">
        <v>17</v>
      </c>
      <c r="P41" s="33" t="s">
        <v>18</v>
      </c>
      <c r="Q41" s="34" t="str">
        <f t="shared" si="3"/>
        <v>Logro detectar todas las noticias</v>
      </c>
      <c r="R41" s="35" t="str">
        <f t="shared" si="4"/>
        <v>Riesgo alto</v>
      </c>
      <c r="S41" s="35" t="str">
        <f t="shared" si="0"/>
        <v>Puede que no sea vulnerable</v>
      </c>
      <c r="T41" s="36"/>
      <c r="U41" s="36"/>
      <c r="V41" s="36"/>
      <c r="W41" s="36"/>
      <c r="X41" s="36"/>
      <c r="Z41" s="37">
        <v>61</v>
      </c>
      <c r="AA41" s="38">
        <v>29</v>
      </c>
      <c r="AB41" s="38" t="s">
        <v>23</v>
      </c>
      <c r="AC41" s="38" t="s">
        <v>10</v>
      </c>
      <c r="AD41" s="38" t="s">
        <v>20</v>
      </c>
      <c r="AE41" s="38" t="s">
        <v>11</v>
      </c>
      <c r="AF41" s="38" t="s">
        <v>12</v>
      </c>
      <c r="AG41" s="38" t="s">
        <v>25</v>
      </c>
      <c r="AH41" s="38" t="s">
        <v>14</v>
      </c>
      <c r="AI41" s="38" t="s">
        <v>15</v>
      </c>
      <c r="AJ41" s="38" t="s">
        <v>27</v>
      </c>
      <c r="AK41" s="38" t="s">
        <v>18</v>
      </c>
      <c r="AL41" s="38" t="s">
        <v>18</v>
      </c>
      <c r="AM41" s="38" t="s">
        <v>17</v>
      </c>
      <c r="AN41" s="39" t="s">
        <v>18</v>
      </c>
      <c r="AO41" s="34" t="str">
        <f t="shared" si="1"/>
        <v>Fallo en algo al detectar</v>
      </c>
      <c r="AP41" s="40" t="str">
        <f t="shared" si="5"/>
        <v>Riesgo bajo</v>
      </c>
      <c r="AQ41" s="41" t="str">
        <f t="shared" si="2"/>
        <v>Puede que no sea vulnerable</v>
      </c>
    </row>
    <row r="42" spans="2:43" s="37" customFormat="1" ht="60" customHeight="1" x14ac:dyDescent="0.25">
      <c r="B42" s="47">
        <v>22</v>
      </c>
      <c r="C42" s="42">
        <v>18</v>
      </c>
      <c r="D42" s="42" t="s">
        <v>8</v>
      </c>
      <c r="E42" s="42" t="s">
        <v>9</v>
      </c>
      <c r="F42" s="42" t="s">
        <v>10</v>
      </c>
      <c r="G42" s="42" t="s">
        <v>11</v>
      </c>
      <c r="H42" s="42" t="s">
        <v>12</v>
      </c>
      <c r="I42" s="42" t="s">
        <v>13</v>
      </c>
      <c r="J42" s="42" t="s">
        <v>14</v>
      </c>
      <c r="K42" s="42" t="s">
        <v>15</v>
      </c>
      <c r="L42" s="42" t="s">
        <v>37</v>
      </c>
      <c r="M42" s="42" t="s">
        <v>18</v>
      </c>
      <c r="N42" s="42" t="s">
        <v>18</v>
      </c>
      <c r="O42" s="42" t="s">
        <v>17</v>
      </c>
      <c r="P42" s="43" t="s">
        <v>17</v>
      </c>
      <c r="Q42" s="34" t="str">
        <f t="shared" si="3"/>
        <v>Fallo en algo al detectar</v>
      </c>
      <c r="R42" s="35" t="str">
        <f t="shared" si="4"/>
        <v>Riesgo alto</v>
      </c>
      <c r="S42" s="35" t="str">
        <f t="shared" si="0"/>
        <v>Posiblemente sea vulnerable</v>
      </c>
      <c r="T42" s="36"/>
      <c r="U42" s="36"/>
      <c r="V42" s="36"/>
      <c r="W42" s="36"/>
      <c r="X42" s="36"/>
      <c r="Z42" s="37">
        <v>62</v>
      </c>
      <c r="AA42" s="45">
        <v>29</v>
      </c>
      <c r="AB42" s="45" t="s">
        <v>23</v>
      </c>
      <c r="AC42" s="45" t="s">
        <v>9</v>
      </c>
      <c r="AD42" s="45" t="s">
        <v>10</v>
      </c>
      <c r="AE42" s="45" t="s">
        <v>11</v>
      </c>
      <c r="AF42" s="45" t="s">
        <v>12</v>
      </c>
      <c r="AG42" s="45" t="s">
        <v>13</v>
      </c>
      <c r="AH42" s="45" t="s">
        <v>21</v>
      </c>
      <c r="AI42" s="45" t="s">
        <v>15</v>
      </c>
      <c r="AJ42" s="45" t="s">
        <v>27</v>
      </c>
      <c r="AK42" s="45" t="s">
        <v>17</v>
      </c>
      <c r="AL42" s="45" t="s">
        <v>18</v>
      </c>
      <c r="AM42" s="45" t="s">
        <v>18</v>
      </c>
      <c r="AN42" s="46" t="s">
        <v>17</v>
      </c>
      <c r="AO42" s="44" t="str">
        <f t="shared" si="1"/>
        <v>Fallo en algo al detectar</v>
      </c>
      <c r="AP42" s="40" t="str">
        <f t="shared" si="5"/>
        <v>Riesgo alto</v>
      </c>
      <c r="AQ42" s="41" t="str">
        <f t="shared" si="2"/>
        <v>Posiblemente sea vulnerable</v>
      </c>
    </row>
    <row r="43" spans="2:43" s="37" customFormat="1" ht="60" customHeight="1" x14ac:dyDescent="0.25">
      <c r="B43" s="31">
        <v>23</v>
      </c>
      <c r="C43" s="32">
        <v>18</v>
      </c>
      <c r="D43" s="32" t="s">
        <v>23</v>
      </c>
      <c r="E43" s="32" t="s">
        <v>10</v>
      </c>
      <c r="F43" s="32" t="s">
        <v>10</v>
      </c>
      <c r="G43" s="32" t="s">
        <v>11</v>
      </c>
      <c r="H43" s="32" t="s">
        <v>35</v>
      </c>
      <c r="I43" s="32" t="s">
        <v>13</v>
      </c>
      <c r="J43" s="32" t="s">
        <v>30</v>
      </c>
      <c r="K43" s="32" t="s">
        <v>22</v>
      </c>
      <c r="L43" s="32" t="s">
        <v>37</v>
      </c>
      <c r="M43" s="32" t="s">
        <v>18</v>
      </c>
      <c r="N43" s="32" t="s">
        <v>18</v>
      </c>
      <c r="O43" s="32" t="s">
        <v>17</v>
      </c>
      <c r="P43" s="33" t="s">
        <v>18</v>
      </c>
      <c r="Q43" s="34" t="str">
        <f t="shared" si="3"/>
        <v>Fallo en algo al detectar</v>
      </c>
      <c r="R43" s="35" t="str">
        <f t="shared" si="4"/>
        <v>Riesgo alto</v>
      </c>
      <c r="S43" s="35" t="str">
        <f t="shared" si="0"/>
        <v>Puede que no sea vulnerable</v>
      </c>
      <c r="Z43" s="37">
        <v>63</v>
      </c>
      <c r="AA43" s="38">
        <v>29</v>
      </c>
      <c r="AB43" s="38" t="s">
        <v>23</v>
      </c>
      <c r="AC43" s="38" t="s">
        <v>10</v>
      </c>
      <c r="AD43" s="38" t="s">
        <v>20</v>
      </c>
      <c r="AE43" s="38" t="s">
        <v>11</v>
      </c>
      <c r="AF43" s="38" t="s">
        <v>12</v>
      </c>
      <c r="AG43" s="38" t="s">
        <v>25</v>
      </c>
      <c r="AH43" s="38" t="s">
        <v>14</v>
      </c>
      <c r="AI43" s="38" t="s">
        <v>15</v>
      </c>
      <c r="AJ43" s="38" t="s">
        <v>27</v>
      </c>
      <c r="AK43" s="38" t="s">
        <v>18</v>
      </c>
      <c r="AL43" s="38" t="s">
        <v>18</v>
      </c>
      <c r="AM43" s="38" t="s">
        <v>17</v>
      </c>
      <c r="AN43" s="39" t="s">
        <v>18</v>
      </c>
      <c r="AO43" s="34" t="str">
        <f t="shared" si="1"/>
        <v>Fallo en algo al detectar</v>
      </c>
      <c r="AP43" s="40" t="str">
        <f t="shared" si="5"/>
        <v>Riesgo bajo</v>
      </c>
      <c r="AQ43" s="41" t="str">
        <f t="shared" si="2"/>
        <v>Puede que no sea vulnerable</v>
      </c>
    </row>
    <row r="44" spans="2:43" s="37" customFormat="1" ht="60" customHeight="1" x14ac:dyDescent="0.25">
      <c r="B44" s="47">
        <v>24</v>
      </c>
      <c r="C44" s="42">
        <v>18</v>
      </c>
      <c r="D44" s="42" t="s">
        <v>64</v>
      </c>
      <c r="E44" s="42" t="s">
        <v>9</v>
      </c>
      <c r="F44" s="42" t="s">
        <v>20</v>
      </c>
      <c r="G44" s="42" t="s">
        <v>32</v>
      </c>
      <c r="H44" s="42" t="s">
        <v>29</v>
      </c>
      <c r="I44" s="42" t="s">
        <v>13</v>
      </c>
      <c r="J44" s="42" t="s">
        <v>30</v>
      </c>
      <c r="K44" s="42" t="s">
        <v>15</v>
      </c>
      <c r="L44" s="42" t="s">
        <v>27</v>
      </c>
      <c r="M44" s="42" t="s">
        <v>18</v>
      </c>
      <c r="N44" s="42" t="s">
        <v>18</v>
      </c>
      <c r="O44" s="42" t="s">
        <v>17</v>
      </c>
      <c r="P44" s="43" t="s">
        <v>18</v>
      </c>
      <c r="Q44" s="34" t="str">
        <f t="shared" si="3"/>
        <v>Fallo en algo al detectar</v>
      </c>
      <c r="R44" s="35" t="str">
        <f t="shared" si="4"/>
        <v>Riesgo alto</v>
      </c>
      <c r="S44" s="35" t="str">
        <f t="shared" si="0"/>
        <v>Posiblemente sea vulnerable</v>
      </c>
    </row>
    <row r="45" spans="2:43" s="37" customFormat="1" ht="60" customHeight="1" x14ac:dyDescent="0.25">
      <c r="B45" s="31">
        <v>25</v>
      </c>
      <c r="C45" s="32">
        <v>18</v>
      </c>
      <c r="D45" s="32" t="s">
        <v>19</v>
      </c>
      <c r="E45" s="32" t="s">
        <v>10</v>
      </c>
      <c r="F45" s="32" t="s">
        <v>20</v>
      </c>
      <c r="G45" s="32" t="s">
        <v>11</v>
      </c>
      <c r="H45" s="32" t="s">
        <v>29</v>
      </c>
      <c r="I45" s="32" t="s">
        <v>13</v>
      </c>
      <c r="J45" s="32" t="s">
        <v>30</v>
      </c>
      <c r="K45" s="32" t="s">
        <v>22</v>
      </c>
      <c r="L45" s="32" t="s">
        <v>27</v>
      </c>
      <c r="M45" s="32" t="s">
        <v>17</v>
      </c>
      <c r="N45" s="32" t="s">
        <v>17</v>
      </c>
      <c r="O45" s="32" t="s">
        <v>17</v>
      </c>
      <c r="P45" s="33" t="s">
        <v>18</v>
      </c>
      <c r="Q45" s="34" t="str">
        <f t="shared" si="3"/>
        <v>Fallo en algo al detectar</v>
      </c>
      <c r="R45" s="35" t="str">
        <f t="shared" si="4"/>
        <v>Riesgo bajo</v>
      </c>
      <c r="S45" s="35" t="str">
        <f t="shared" si="0"/>
        <v>Puede que no sea vulnerable</v>
      </c>
    </row>
    <row r="46" spans="2:43" s="37" customFormat="1" ht="60" customHeight="1" x14ac:dyDescent="0.25">
      <c r="B46" s="47">
        <v>26</v>
      </c>
      <c r="C46" s="42">
        <v>18</v>
      </c>
      <c r="D46" s="42" t="s">
        <v>19</v>
      </c>
      <c r="E46" s="42" t="s">
        <v>10</v>
      </c>
      <c r="F46" s="42" t="s">
        <v>10</v>
      </c>
      <c r="G46" s="42" t="s">
        <v>11</v>
      </c>
      <c r="H46" s="42" t="s">
        <v>29</v>
      </c>
      <c r="I46" s="42" t="s">
        <v>25</v>
      </c>
      <c r="J46" s="42" t="s">
        <v>30</v>
      </c>
      <c r="K46" s="42" t="s">
        <v>22</v>
      </c>
      <c r="L46" s="42" t="s">
        <v>27</v>
      </c>
      <c r="M46" s="42" t="s">
        <v>17</v>
      </c>
      <c r="N46" s="42" t="s">
        <v>18</v>
      </c>
      <c r="O46" s="42" t="s">
        <v>17</v>
      </c>
      <c r="P46" s="43" t="s">
        <v>18</v>
      </c>
      <c r="Q46" s="34" t="str">
        <f t="shared" si="3"/>
        <v>Logro detectar todas las noticias</v>
      </c>
      <c r="R46" s="35" t="str">
        <f t="shared" si="4"/>
        <v>Riesgo alto</v>
      </c>
      <c r="S46" s="35" t="str">
        <f t="shared" si="0"/>
        <v>Puede que no sea vulnerable</v>
      </c>
      <c r="AB46" s="30"/>
      <c r="AC46" s="48"/>
      <c r="AI46" s="48"/>
      <c r="AK46" s="49"/>
    </row>
    <row r="47" spans="2:43" s="37" customFormat="1" ht="60" customHeight="1" x14ac:dyDescent="0.25">
      <c r="B47" s="31">
        <v>27</v>
      </c>
      <c r="C47" s="32">
        <v>18</v>
      </c>
      <c r="D47" s="32" t="s">
        <v>31</v>
      </c>
      <c r="E47" s="32" t="s">
        <v>10</v>
      </c>
      <c r="F47" s="32" t="s">
        <v>20</v>
      </c>
      <c r="G47" s="32" t="s">
        <v>11</v>
      </c>
      <c r="H47" s="32" t="s">
        <v>12</v>
      </c>
      <c r="I47" s="32" t="s">
        <v>13</v>
      </c>
      <c r="J47" s="32" t="s">
        <v>30</v>
      </c>
      <c r="K47" s="32" t="s">
        <v>15</v>
      </c>
      <c r="L47" s="32" t="s">
        <v>33</v>
      </c>
      <c r="M47" s="32" t="s">
        <v>18</v>
      </c>
      <c r="N47" s="32" t="s">
        <v>18</v>
      </c>
      <c r="O47" s="32" t="s">
        <v>17</v>
      </c>
      <c r="P47" s="33" t="s">
        <v>18</v>
      </c>
      <c r="Q47" s="34" t="str">
        <f t="shared" si="3"/>
        <v>Fallo en algo al detectar</v>
      </c>
      <c r="R47" s="35" t="str">
        <f t="shared" si="4"/>
        <v>Riesgo bajo</v>
      </c>
      <c r="S47" s="35" t="str">
        <f t="shared" si="0"/>
        <v>Puede que no sea vulnerable</v>
      </c>
      <c r="AB47" s="131" t="s">
        <v>40</v>
      </c>
      <c r="AC47" s="18" t="s">
        <v>34</v>
      </c>
      <c r="AD47" s="105">
        <f>COUNTIF($AB$21:$AB$43,"Facebook")</f>
        <v>2</v>
      </c>
      <c r="AE47" s="109">
        <f>COUNTIF($AB$21:$AB$43,"Facebook")/COUNTA($AB$21:$AB$43)</f>
        <v>8.6956521739130432E-2</v>
      </c>
      <c r="AF47" s="20"/>
      <c r="AG47" s="122" t="s">
        <v>1</v>
      </c>
      <c r="AH47" s="21" t="s">
        <v>69</v>
      </c>
      <c r="AI47" s="107">
        <f>COUNTIF($AC$21:$AC$43, "Frecuentemente")</f>
        <v>10</v>
      </c>
      <c r="AJ47" s="104">
        <f>COUNTIF($AC$21:$AC$43, "Frecuentemente")/COUNTA($AC$21:$AC$43)</f>
        <v>0.43478260869565216</v>
      </c>
      <c r="AK47" s="79"/>
      <c r="AL47" s="127" t="s">
        <v>2</v>
      </c>
      <c r="AM47" s="22" t="s">
        <v>72</v>
      </c>
      <c r="AN47" s="105">
        <f>COUNTIF($AD$21:$AD$43,"Siempre")</f>
        <v>13</v>
      </c>
      <c r="AO47" s="108">
        <f>COUNTIF($AD$21:$AD$43,"Siempre")/COUNTA($AD$21:$AD$43)</f>
        <v>0.56521739130434778</v>
      </c>
      <c r="AP47" s="78"/>
      <c r="AQ47" s="78"/>
    </row>
    <row r="48" spans="2:43" s="37" customFormat="1" ht="60" customHeight="1" x14ac:dyDescent="0.25">
      <c r="B48" s="47">
        <v>28</v>
      </c>
      <c r="C48" s="42">
        <v>18</v>
      </c>
      <c r="D48" s="42" t="s">
        <v>23</v>
      </c>
      <c r="E48" s="42" t="s">
        <v>10</v>
      </c>
      <c r="F48" s="42" t="s">
        <v>10</v>
      </c>
      <c r="G48" s="42" t="s">
        <v>11</v>
      </c>
      <c r="H48" s="42" t="s">
        <v>29</v>
      </c>
      <c r="I48" s="42" t="s">
        <v>25</v>
      </c>
      <c r="J48" s="42" t="s">
        <v>21</v>
      </c>
      <c r="K48" s="42" t="s">
        <v>22</v>
      </c>
      <c r="L48" s="42" t="s">
        <v>27</v>
      </c>
      <c r="M48" s="42" t="s">
        <v>18</v>
      </c>
      <c r="N48" s="42" t="s">
        <v>18</v>
      </c>
      <c r="O48" s="42" t="s">
        <v>17</v>
      </c>
      <c r="P48" s="43" t="s">
        <v>18</v>
      </c>
      <c r="Q48" s="34" t="str">
        <f t="shared" si="3"/>
        <v>Fallo en algo al detectar</v>
      </c>
      <c r="R48" s="35" t="str">
        <f t="shared" si="4"/>
        <v>Riesgo alto</v>
      </c>
      <c r="S48" s="35" t="str">
        <f t="shared" si="0"/>
        <v>Puede que no sea vulnerable</v>
      </c>
      <c r="AB48" s="132"/>
      <c r="AC48" s="18" t="s">
        <v>66</v>
      </c>
      <c r="AD48" s="105">
        <f>COUNTIF($AB$21:$AB$43,"Instagram")</f>
        <v>11</v>
      </c>
      <c r="AE48" s="109">
        <f>COUNTIF($AB$21:$AB$43,"Instagram")/COUNTA($AB$21:$AB$43)</f>
        <v>0.47826086956521741</v>
      </c>
      <c r="AF48" s="20"/>
      <c r="AG48" s="122"/>
      <c r="AH48" s="18" t="s">
        <v>71</v>
      </c>
      <c r="AI48" s="107">
        <f>COUNTIF($AC$21:$AC$43,"Rara vez")</f>
        <v>1</v>
      </c>
      <c r="AJ48" s="104">
        <f>COUNTIF($AC$21:$AC$43, "Rara vez")/COUNTA($AC$21:$AC$43)</f>
        <v>4.3478260869565216E-2</v>
      </c>
      <c r="AK48" s="79"/>
      <c r="AL48" s="128"/>
      <c r="AM48" s="22" t="s">
        <v>73</v>
      </c>
      <c r="AN48" s="105">
        <f>COUNTIF($AD$21:$AD$43,"A veces")</f>
        <v>8</v>
      </c>
      <c r="AO48" s="108">
        <f>COUNTIF($AD$21:$AD$43,"A veces")/COUNTA($AD$21:$AD$43)</f>
        <v>0.34782608695652173</v>
      </c>
      <c r="AP48" s="78"/>
      <c r="AQ48" s="78"/>
    </row>
    <row r="49" spans="2:43" s="37" customFormat="1" ht="60" customHeight="1" x14ac:dyDescent="0.25">
      <c r="B49" s="31">
        <v>29</v>
      </c>
      <c r="C49" s="32">
        <v>18</v>
      </c>
      <c r="D49" s="32" t="s">
        <v>23</v>
      </c>
      <c r="E49" s="32" t="s">
        <v>10</v>
      </c>
      <c r="F49" s="32" t="s">
        <v>10</v>
      </c>
      <c r="G49" s="32" t="s">
        <v>32</v>
      </c>
      <c r="H49" s="32" t="s">
        <v>29</v>
      </c>
      <c r="I49" s="32" t="s">
        <v>13</v>
      </c>
      <c r="J49" s="32" t="s">
        <v>30</v>
      </c>
      <c r="K49" s="32" t="s">
        <v>22</v>
      </c>
      <c r="L49" s="32" t="s">
        <v>33</v>
      </c>
      <c r="M49" s="32" t="s">
        <v>17</v>
      </c>
      <c r="N49" s="32" t="s">
        <v>18</v>
      </c>
      <c r="O49" s="32" t="s">
        <v>17</v>
      </c>
      <c r="P49" s="33" t="s">
        <v>17</v>
      </c>
      <c r="Q49" s="34" t="str">
        <f t="shared" si="3"/>
        <v>Fallo en algo al detectar</v>
      </c>
      <c r="R49" s="35" t="str">
        <f t="shared" si="4"/>
        <v>Riesgo alto</v>
      </c>
      <c r="S49" s="35" t="str">
        <f t="shared" si="0"/>
        <v>Puede que no sea vulnerable</v>
      </c>
      <c r="AB49" s="132"/>
      <c r="AC49" s="18" t="s">
        <v>67</v>
      </c>
      <c r="AD49" s="105">
        <f>COUNTIF($AB$21:$AB$43,"X (ex Twitter)")</f>
        <v>4</v>
      </c>
      <c r="AE49" s="109">
        <f>COUNTIF($AB$21:$AB$43,"X (ex Twitter)")/COUNTA($AB$21:$AB$43)</f>
        <v>0.17391304347826086</v>
      </c>
      <c r="AF49" s="20"/>
      <c r="AG49" s="122"/>
      <c r="AH49" s="18" t="s">
        <v>70</v>
      </c>
      <c r="AI49" s="107">
        <f>COUNTIF($AC$21:$AC$43,"A veces")</f>
        <v>12</v>
      </c>
      <c r="AJ49" s="104">
        <f>COUNTIF($AC$21:$AC$43, "A veces")/COUNTA($AC$21:$AC$43)</f>
        <v>0.52173913043478259</v>
      </c>
      <c r="AK49" s="79"/>
      <c r="AL49" s="128"/>
      <c r="AM49" s="22" t="s">
        <v>74</v>
      </c>
      <c r="AN49" s="105">
        <f>COUNTIF($AD$21:$AD$43, "Nunca")</f>
        <v>2</v>
      </c>
      <c r="AO49" s="108">
        <f>COUNTIF($AD$21:$AD$43,"Nunca")/COUNTA($AD$21:$AD$43)</f>
        <v>8.6956521739130432E-2</v>
      </c>
      <c r="AP49" s="81"/>
      <c r="AQ49" s="78"/>
    </row>
    <row r="50" spans="2:43" s="37" customFormat="1" ht="60" customHeight="1" x14ac:dyDescent="0.25">
      <c r="B50" s="47">
        <v>30</v>
      </c>
      <c r="C50" s="42">
        <v>18</v>
      </c>
      <c r="D50" s="42" t="s">
        <v>8</v>
      </c>
      <c r="E50" s="42" t="s">
        <v>9</v>
      </c>
      <c r="F50" s="42" t="s">
        <v>20</v>
      </c>
      <c r="G50" s="42" t="s">
        <v>11</v>
      </c>
      <c r="H50" s="42" t="s">
        <v>29</v>
      </c>
      <c r="I50" s="42" t="s">
        <v>13</v>
      </c>
      <c r="J50" s="42" t="s">
        <v>30</v>
      </c>
      <c r="K50" s="42" t="s">
        <v>15</v>
      </c>
      <c r="L50" s="42" t="s">
        <v>27</v>
      </c>
      <c r="M50" s="42" t="s">
        <v>17</v>
      </c>
      <c r="N50" s="42" t="s">
        <v>18</v>
      </c>
      <c r="O50" s="42" t="s">
        <v>17</v>
      </c>
      <c r="P50" s="43" t="s">
        <v>18</v>
      </c>
      <c r="Q50" s="34" t="str">
        <f t="shared" si="3"/>
        <v>Logro detectar todas las noticias</v>
      </c>
      <c r="R50" s="35" t="str">
        <f t="shared" si="4"/>
        <v>Riesgo bajo</v>
      </c>
      <c r="S50" s="35" t="str">
        <f t="shared" si="0"/>
        <v>Puede que no sea vulnerable</v>
      </c>
      <c r="AB50" s="132"/>
      <c r="AC50" s="18" t="s">
        <v>47</v>
      </c>
      <c r="AD50" s="105">
        <f>COUNTIF($AB$21:$AB$43,"Tiktok")</f>
        <v>3</v>
      </c>
      <c r="AE50" s="109">
        <f>COUNTIF($AB$21:$AB$43,"Tiktok")/COUNTA($AB$21:$AB$43)</f>
        <v>0.13043478260869565</v>
      </c>
      <c r="AF50" s="20"/>
      <c r="AG50" s="122"/>
      <c r="AH50" s="19" t="s">
        <v>36</v>
      </c>
      <c r="AI50" s="107">
        <f>COUNTIF($AC$21:$AC$43,"Nunca")</f>
        <v>0</v>
      </c>
      <c r="AJ50" s="104">
        <f>COUNTIF($AC$21:$AC$43, "Nunca")/COUNTA($AC$21:$AC$43)</f>
        <v>0</v>
      </c>
      <c r="AK50" s="79"/>
      <c r="AL50" s="129"/>
      <c r="AM50" s="73" t="s">
        <v>43</v>
      </c>
      <c r="AN50" s="123">
        <f>SUM(AN47:AN49)</f>
        <v>23</v>
      </c>
      <c r="AO50" s="124"/>
      <c r="AP50" s="81"/>
      <c r="AQ50" s="78"/>
    </row>
    <row r="51" spans="2:43" s="37" customFormat="1" ht="60" customHeight="1" x14ac:dyDescent="0.25">
      <c r="B51" s="31">
        <v>31</v>
      </c>
      <c r="C51" s="32">
        <v>18</v>
      </c>
      <c r="D51" s="32" t="s">
        <v>31</v>
      </c>
      <c r="E51" s="32" t="s">
        <v>9</v>
      </c>
      <c r="F51" s="32" t="s">
        <v>20</v>
      </c>
      <c r="G51" s="32" t="s">
        <v>11</v>
      </c>
      <c r="H51" s="32" t="s">
        <v>12</v>
      </c>
      <c r="I51" s="32" t="s">
        <v>13</v>
      </c>
      <c r="J51" s="32" t="s">
        <v>21</v>
      </c>
      <c r="K51" s="32" t="s">
        <v>15</v>
      </c>
      <c r="L51" s="32" t="s">
        <v>27</v>
      </c>
      <c r="M51" s="32" t="s">
        <v>18</v>
      </c>
      <c r="N51" s="32" t="s">
        <v>18</v>
      </c>
      <c r="O51" s="32" t="s">
        <v>17</v>
      </c>
      <c r="P51" s="33" t="s">
        <v>18</v>
      </c>
      <c r="Q51" s="34" t="str">
        <f t="shared" si="3"/>
        <v>Fallo en algo al detectar</v>
      </c>
      <c r="R51" s="35" t="str">
        <f>IF(OR(G51="Mucho",F51="A veces",AND(I51="No",L51="Sí, una vez",E51="Frecuentemente")), "Riesgo alto", "Riesgo bajo")</f>
        <v>Riesgo bajo</v>
      </c>
      <c r="S51" s="35" t="str">
        <f t="shared" si="0"/>
        <v>Posiblemente sea vulnerable</v>
      </c>
      <c r="AB51" s="132"/>
      <c r="AC51" s="18" t="s">
        <v>68</v>
      </c>
      <c r="AD51" s="105">
        <f>COUNTIF($AB$21:$AB$43,"Youtube")</f>
        <v>2</v>
      </c>
      <c r="AE51" s="109">
        <f>COUNTIF($AB$21:$AB$43,"Youtube")/COUNTA($AB$21:$AB$43)</f>
        <v>8.6956521739130432E-2</v>
      </c>
      <c r="AF51" s="20"/>
      <c r="AG51" s="122"/>
      <c r="AH51" s="72" t="s">
        <v>43</v>
      </c>
      <c r="AI51" s="125">
        <f>SUM(AI47:AI50)</f>
        <v>23</v>
      </c>
      <c r="AJ51" s="126"/>
      <c r="AK51" s="27"/>
      <c r="AL51" s="20"/>
      <c r="AM51" s="20"/>
      <c r="AN51" s="20"/>
      <c r="AO51" s="20"/>
      <c r="AP51" s="20"/>
      <c r="AQ51" s="20"/>
    </row>
    <row r="52" spans="2:43" s="37" customFormat="1" ht="60" customHeight="1" x14ac:dyDescent="0.25">
      <c r="B52" s="47">
        <v>32</v>
      </c>
      <c r="C52" s="64">
        <v>18</v>
      </c>
      <c r="D52" s="64" t="s">
        <v>31</v>
      </c>
      <c r="E52" s="64" t="s">
        <v>9</v>
      </c>
      <c r="F52" s="64" t="s">
        <v>10</v>
      </c>
      <c r="G52" s="64" t="s">
        <v>11</v>
      </c>
      <c r="H52" s="64" t="s">
        <v>29</v>
      </c>
      <c r="I52" s="64" t="s">
        <v>25</v>
      </c>
      <c r="J52" s="64" t="s">
        <v>21</v>
      </c>
      <c r="K52" s="64" t="s">
        <v>22</v>
      </c>
      <c r="L52" s="64" t="s">
        <v>33</v>
      </c>
      <c r="M52" s="64" t="s">
        <v>17</v>
      </c>
      <c r="N52" s="64" t="s">
        <v>18</v>
      </c>
      <c r="O52" s="64" t="s">
        <v>17</v>
      </c>
      <c r="P52" s="65" t="s">
        <v>18</v>
      </c>
      <c r="Q52" s="34" t="str">
        <f t="shared" si="3"/>
        <v>Logro detectar todas las noticias</v>
      </c>
      <c r="R52" s="35" t="str">
        <f t="shared" si="4"/>
        <v>Riesgo alto</v>
      </c>
      <c r="S52" s="35" t="str">
        <f t="shared" si="0"/>
        <v>Puede que no sea vulnerable</v>
      </c>
      <c r="AB52" s="132"/>
      <c r="AC52" s="24" t="s">
        <v>101</v>
      </c>
      <c r="AD52" s="106">
        <f>COUNTIF($AB$21:$AB$43,"Radio")</f>
        <v>1</v>
      </c>
      <c r="AE52" s="109">
        <f>COUNTIF($AB$21:$AB$43,"Radio")/COUNTA($AB$21:$AB$43)</f>
        <v>4.3478260869565216E-2</v>
      </c>
      <c r="AF52" s="20"/>
      <c r="AG52" s="20"/>
      <c r="AH52" s="20"/>
      <c r="AI52" s="27"/>
      <c r="AJ52" s="20"/>
      <c r="AK52" s="27"/>
      <c r="AL52" s="20"/>
      <c r="AM52" s="20"/>
      <c r="AN52" s="20"/>
      <c r="AO52" s="20"/>
      <c r="AP52" s="20"/>
      <c r="AQ52" s="20"/>
    </row>
    <row r="53" spans="2:43" s="37" customFormat="1" ht="60" customHeight="1" x14ac:dyDescent="0.25">
      <c r="B53" s="68">
        <v>33</v>
      </c>
      <c r="C53" s="69">
        <v>18</v>
      </c>
      <c r="D53" s="69" t="s">
        <v>34</v>
      </c>
      <c r="E53" s="69" t="s">
        <v>24</v>
      </c>
      <c r="F53" s="69" t="s">
        <v>36</v>
      </c>
      <c r="G53" s="69" t="s">
        <v>11</v>
      </c>
      <c r="H53" s="69" t="s">
        <v>65</v>
      </c>
      <c r="I53" s="69" t="s">
        <v>25</v>
      </c>
      <c r="J53" s="69" t="s">
        <v>14</v>
      </c>
      <c r="K53" s="69" t="s">
        <v>15</v>
      </c>
      <c r="L53" s="69" t="s">
        <v>27</v>
      </c>
      <c r="M53" s="69" t="s">
        <v>18</v>
      </c>
      <c r="N53" s="69" t="s">
        <v>18</v>
      </c>
      <c r="O53" s="69" t="s">
        <v>17</v>
      </c>
      <c r="P53" s="69" t="s">
        <v>17</v>
      </c>
      <c r="Q53" s="34" t="str">
        <f t="shared" si="3"/>
        <v>Fallo en algo al detectar</v>
      </c>
      <c r="R53" s="35" t="str">
        <f t="shared" si="4"/>
        <v>Riesgo bajo</v>
      </c>
      <c r="S53" s="35" t="str">
        <f t="shared" si="0"/>
        <v>Puede que no sea vulnerable</v>
      </c>
      <c r="AB53" s="132"/>
      <c r="AC53" s="18" t="s">
        <v>94</v>
      </c>
      <c r="AD53" s="105">
        <f>COUNTIF($AB$21:$AB$43,"Tv")</f>
        <v>0</v>
      </c>
      <c r="AE53" s="109">
        <f>COUNTIF($AB$21:$AB$43,"Tv")/COUNTA($AB$21:$AB$43)</f>
        <v>0</v>
      </c>
      <c r="AF53" s="20"/>
      <c r="AG53" s="79"/>
      <c r="AH53" s="78"/>
      <c r="AI53" s="78"/>
      <c r="AJ53" s="78"/>
      <c r="AK53" s="79"/>
      <c r="AL53" s="20"/>
      <c r="AM53" s="20"/>
      <c r="AN53" s="20"/>
      <c r="AO53" s="79"/>
      <c r="AP53" s="78"/>
      <c r="AQ53" s="78"/>
    </row>
    <row r="54" spans="2:43" s="37" customFormat="1" ht="60" customHeight="1" x14ac:dyDescent="0.25">
      <c r="B54" s="68">
        <v>34</v>
      </c>
      <c r="C54" s="70">
        <v>18</v>
      </c>
      <c r="D54" s="70" t="s">
        <v>23</v>
      </c>
      <c r="E54" s="70" t="s">
        <v>10</v>
      </c>
      <c r="F54" s="70" t="s">
        <v>10</v>
      </c>
      <c r="G54" s="70" t="s">
        <v>11</v>
      </c>
      <c r="H54" s="70" t="s">
        <v>29</v>
      </c>
      <c r="I54" s="70" t="s">
        <v>13</v>
      </c>
      <c r="J54" s="70" t="s">
        <v>30</v>
      </c>
      <c r="K54" s="70" t="s">
        <v>22</v>
      </c>
      <c r="L54" s="70" t="s">
        <v>27</v>
      </c>
      <c r="M54" s="70" t="s">
        <v>18</v>
      </c>
      <c r="N54" s="70" t="s">
        <v>18</v>
      </c>
      <c r="O54" s="70" t="s">
        <v>17</v>
      </c>
      <c r="P54" s="70" t="s">
        <v>18</v>
      </c>
      <c r="Q54" s="34" t="str">
        <f t="shared" si="3"/>
        <v>Fallo en algo al detectar</v>
      </c>
      <c r="R54" s="35" t="str">
        <f t="shared" si="4"/>
        <v>Riesgo alto</v>
      </c>
      <c r="S54" s="35" t="str">
        <f t="shared" si="0"/>
        <v>Puede que no sea vulnerable</v>
      </c>
      <c r="AB54" s="133"/>
      <c r="AC54" s="72" t="s">
        <v>43</v>
      </c>
      <c r="AD54" s="123">
        <f>SUM(AD47:AD53)</f>
        <v>23</v>
      </c>
      <c r="AE54" s="124"/>
      <c r="AF54" s="20"/>
      <c r="AG54" s="79"/>
      <c r="AH54" s="78"/>
      <c r="AI54" s="78"/>
      <c r="AJ54" s="78"/>
      <c r="AK54" s="79"/>
      <c r="AL54" s="20"/>
      <c r="AM54" s="20"/>
      <c r="AN54" s="20"/>
      <c r="AO54" s="79"/>
      <c r="AP54" s="78"/>
      <c r="AQ54" s="78"/>
    </row>
    <row r="55" spans="2:43" s="37" customFormat="1" ht="60" customHeight="1" x14ac:dyDescent="0.25">
      <c r="B55" s="31">
        <v>35</v>
      </c>
      <c r="C55" s="66">
        <v>18</v>
      </c>
      <c r="D55" s="66" t="s">
        <v>8</v>
      </c>
      <c r="E55" s="66" t="s">
        <v>10</v>
      </c>
      <c r="F55" s="66" t="s">
        <v>20</v>
      </c>
      <c r="G55" s="66" t="s">
        <v>11</v>
      </c>
      <c r="H55" s="66" t="s">
        <v>29</v>
      </c>
      <c r="I55" s="66" t="s">
        <v>13</v>
      </c>
      <c r="J55" s="66" t="s">
        <v>21</v>
      </c>
      <c r="K55" s="66" t="s">
        <v>15</v>
      </c>
      <c r="L55" s="66" t="s">
        <v>27</v>
      </c>
      <c r="M55" s="66" t="s">
        <v>17</v>
      </c>
      <c r="N55" s="66" t="s">
        <v>18</v>
      </c>
      <c r="O55" s="66" t="s">
        <v>17</v>
      </c>
      <c r="P55" s="67" t="s">
        <v>18</v>
      </c>
      <c r="Q55" s="34" t="str">
        <f t="shared" si="3"/>
        <v>Logro detectar todas las noticias</v>
      </c>
      <c r="R55" s="35" t="str">
        <f t="shared" si="4"/>
        <v>Riesgo bajo</v>
      </c>
      <c r="S55" s="35" t="str">
        <f t="shared" si="0"/>
        <v>Puede que no sea vulnerable</v>
      </c>
      <c r="AB55" s="30"/>
      <c r="AC55" s="20"/>
      <c r="AD55" s="20"/>
      <c r="AE55" s="20"/>
      <c r="AF55" s="20"/>
      <c r="AG55" s="79"/>
      <c r="AH55" s="81"/>
      <c r="AI55" s="78"/>
      <c r="AJ55" s="78"/>
      <c r="AK55" s="79"/>
      <c r="AL55" s="20"/>
      <c r="AM55" s="20"/>
      <c r="AN55" s="20"/>
      <c r="AO55" s="79"/>
      <c r="AP55" s="78"/>
      <c r="AQ55" s="78"/>
    </row>
    <row r="56" spans="2:43" s="37" customFormat="1" ht="60" customHeight="1" x14ac:dyDescent="0.25">
      <c r="B56" s="47">
        <v>36</v>
      </c>
      <c r="C56" s="42">
        <v>18</v>
      </c>
      <c r="D56" s="42" t="s">
        <v>23</v>
      </c>
      <c r="E56" s="42" t="s">
        <v>10</v>
      </c>
      <c r="F56" s="42" t="s">
        <v>20</v>
      </c>
      <c r="G56" s="42" t="s">
        <v>11</v>
      </c>
      <c r="H56" s="42" t="s">
        <v>29</v>
      </c>
      <c r="I56" s="42" t="s">
        <v>25</v>
      </c>
      <c r="J56" s="42" t="s">
        <v>30</v>
      </c>
      <c r="K56" s="42" t="s">
        <v>26</v>
      </c>
      <c r="L56" s="42" t="s">
        <v>27</v>
      </c>
      <c r="M56" s="42" t="s">
        <v>17</v>
      </c>
      <c r="N56" s="42" t="s">
        <v>18</v>
      </c>
      <c r="O56" s="42" t="s">
        <v>18</v>
      </c>
      <c r="P56" s="43" t="s">
        <v>18</v>
      </c>
      <c r="Q56" s="34" t="str">
        <f t="shared" si="3"/>
        <v>Fallo en algo al detectar</v>
      </c>
      <c r="R56" s="35" t="str">
        <f t="shared" si="4"/>
        <v>Riesgo bajo</v>
      </c>
      <c r="S56" s="35" t="str">
        <f t="shared" si="0"/>
        <v>Puede que no sea vulnerable</v>
      </c>
      <c r="AB56" s="121" t="s">
        <v>3</v>
      </c>
      <c r="AC56" s="18" t="s">
        <v>75</v>
      </c>
      <c r="AD56" s="105">
        <f>COUNTIF($AE$21:$AE$43,"Poco")</f>
        <v>18</v>
      </c>
      <c r="AE56" s="104">
        <f>COUNTIF($AE$21:$AE$43,"Poco")/COUNTA($AE$21:$AE$43)</f>
        <v>0.78260869565217395</v>
      </c>
      <c r="AF56" s="20"/>
      <c r="AG56" s="121" t="s">
        <v>4</v>
      </c>
      <c r="AH56" s="22" t="s">
        <v>79</v>
      </c>
      <c r="AI56" s="105">
        <f>COUNTIF($AF$21:$AF$43,"Gente mayor")</f>
        <v>13</v>
      </c>
      <c r="AJ56" s="109">
        <f>COUNTIF($AF$21:$AF$43,"Gente mayor")/COUNTA($AF$21:$AF$43)</f>
        <v>0.56521739130434778</v>
      </c>
      <c r="AK56" s="79"/>
      <c r="AL56" s="121" t="s">
        <v>92</v>
      </c>
      <c r="AM56" s="18" t="s">
        <v>82</v>
      </c>
      <c r="AN56" s="107">
        <f>COUNTIF($AG$21:$AG$43,"Si")</f>
        <v>18</v>
      </c>
      <c r="AO56" s="108">
        <f>COUNTIF($AG$21:$AG$43,"Si")/COUNTA($AG$21:$AG$43)</f>
        <v>0.78260869565217395</v>
      </c>
      <c r="AP56" s="78"/>
      <c r="AQ56" s="78"/>
    </row>
    <row r="57" spans="2:43" s="37" customFormat="1" ht="60" customHeight="1" x14ac:dyDescent="0.25">
      <c r="B57" s="31">
        <v>37</v>
      </c>
      <c r="C57" s="32">
        <v>18</v>
      </c>
      <c r="D57" s="32" t="s">
        <v>23</v>
      </c>
      <c r="E57" s="32" t="s">
        <v>10</v>
      </c>
      <c r="F57" s="32" t="s">
        <v>20</v>
      </c>
      <c r="G57" s="32" t="s">
        <v>11</v>
      </c>
      <c r="H57" s="32" t="s">
        <v>12</v>
      </c>
      <c r="I57" s="32" t="s">
        <v>13</v>
      </c>
      <c r="J57" s="32" t="s">
        <v>30</v>
      </c>
      <c r="K57" s="32" t="s">
        <v>22</v>
      </c>
      <c r="L57" s="32" t="s">
        <v>16</v>
      </c>
      <c r="M57" s="32" t="s">
        <v>17</v>
      </c>
      <c r="N57" s="32" t="s">
        <v>18</v>
      </c>
      <c r="O57" s="32" t="s">
        <v>17</v>
      </c>
      <c r="P57" s="33" t="s">
        <v>18</v>
      </c>
      <c r="Q57" s="34" t="str">
        <f t="shared" si="3"/>
        <v>Logro detectar todas las noticias</v>
      </c>
      <c r="R57" s="35" t="str">
        <f t="shared" si="4"/>
        <v>Riesgo bajo</v>
      </c>
      <c r="S57" s="35" t="str">
        <f t="shared" si="0"/>
        <v>Puede que no sea vulnerable</v>
      </c>
      <c r="AB57" s="121"/>
      <c r="AC57" s="18" t="s">
        <v>76</v>
      </c>
      <c r="AD57" s="105">
        <f>COUNTIF($AE$21:$AE$43,"Mucho")</f>
        <v>3</v>
      </c>
      <c r="AE57" s="104">
        <f>COUNTIF($AE$21:$AE$43,"Mucho")/COUNTA($AE$21:$AE$43)</f>
        <v>0.13043478260869565</v>
      </c>
      <c r="AF57" s="78"/>
      <c r="AG57" s="121"/>
      <c r="AH57" s="22" t="s">
        <v>80</v>
      </c>
      <c r="AI57" s="105">
        <f>COUNTIF($AF$21:$AF$43,"Ambos")</f>
        <v>7</v>
      </c>
      <c r="AJ57" s="109">
        <f>COUNTIF($AF$21:$AF$43,"Ambos")/COUNTA($AF$21:$AF$43)</f>
        <v>0.30434782608695654</v>
      </c>
      <c r="AK57" s="130"/>
      <c r="AL57" s="121"/>
      <c r="AM57" s="18" t="s">
        <v>83</v>
      </c>
      <c r="AN57" s="107">
        <f>COUNTIF($AG$21:$AG$43,"No")</f>
        <v>5</v>
      </c>
      <c r="AO57" s="108">
        <f>COUNTIF($AG$21:$AG$43,"No")/COUNTA($AG$21:$AG$43)</f>
        <v>0.21739130434782608</v>
      </c>
      <c r="AP57" s="79"/>
      <c r="AQ57" s="78"/>
    </row>
    <row r="58" spans="2:43" s="37" customFormat="1" ht="60" customHeight="1" x14ac:dyDescent="0.25">
      <c r="B58" s="47">
        <v>38</v>
      </c>
      <c r="C58" s="42">
        <v>18</v>
      </c>
      <c r="D58" s="42" t="s">
        <v>39</v>
      </c>
      <c r="E58" s="42" t="s">
        <v>9</v>
      </c>
      <c r="F58" s="42" t="s">
        <v>10</v>
      </c>
      <c r="G58" s="42" t="s">
        <v>11</v>
      </c>
      <c r="H58" s="42" t="s">
        <v>12</v>
      </c>
      <c r="I58" s="42" t="s">
        <v>13</v>
      </c>
      <c r="J58" s="42" t="s">
        <v>30</v>
      </c>
      <c r="K58" s="42" t="s">
        <v>22</v>
      </c>
      <c r="L58" s="42" t="s">
        <v>33</v>
      </c>
      <c r="M58" s="42" t="s">
        <v>17</v>
      </c>
      <c r="N58" s="42" t="s">
        <v>18</v>
      </c>
      <c r="O58" s="42" t="s">
        <v>18</v>
      </c>
      <c r="P58" s="43" t="s">
        <v>17</v>
      </c>
      <c r="Q58" s="34" t="str">
        <f t="shared" si="3"/>
        <v>Fallo en algo al detectar</v>
      </c>
      <c r="R58" s="35" t="str">
        <f t="shared" si="4"/>
        <v>Riesgo alto</v>
      </c>
      <c r="S58" s="35" t="str">
        <f t="shared" si="0"/>
        <v>Posiblemente sea vulnerable</v>
      </c>
      <c r="AB58" s="121"/>
      <c r="AC58" s="23" t="s">
        <v>77</v>
      </c>
      <c r="AD58" s="105">
        <f>COUNTIF($AE$21:$AE$43, "Nada")</f>
        <v>2</v>
      </c>
      <c r="AE58" s="104">
        <f>COUNTIF($AE$21:$AE$43,"Nada")/COUNTA($AE$21:$AE$43)</f>
        <v>8.6956521739130432E-2</v>
      </c>
      <c r="AF58" s="78"/>
      <c r="AG58" s="121"/>
      <c r="AH58" s="22" t="s">
        <v>81</v>
      </c>
      <c r="AI58" s="105">
        <f>COUNTIF($AF$21:$AF$43,"Ninguno")</f>
        <v>0</v>
      </c>
      <c r="AJ58" s="109">
        <f>COUNTIF($AF$21:$AF$43,"Ninguno")/COUNTA($AF$21:$AF$43)</f>
        <v>0</v>
      </c>
      <c r="AK58" s="130"/>
      <c r="AL58" s="121"/>
      <c r="AM58" s="72" t="s">
        <v>43</v>
      </c>
      <c r="AN58" s="125">
        <f>SUM(AN56:AN57)</f>
        <v>23</v>
      </c>
      <c r="AO58" s="126"/>
      <c r="AP58" s="79"/>
      <c r="AQ58" s="78"/>
    </row>
    <row r="59" spans="2:43" s="37" customFormat="1" ht="60" customHeight="1" x14ac:dyDescent="0.25">
      <c r="B59" s="31">
        <v>39</v>
      </c>
      <c r="C59" s="32">
        <v>18</v>
      </c>
      <c r="D59" s="32" t="s">
        <v>8</v>
      </c>
      <c r="E59" s="32" t="s">
        <v>9</v>
      </c>
      <c r="F59" s="32" t="s">
        <v>20</v>
      </c>
      <c r="G59" s="32" t="s">
        <v>11</v>
      </c>
      <c r="H59" s="32" t="s">
        <v>29</v>
      </c>
      <c r="I59" s="32" t="s">
        <v>13</v>
      </c>
      <c r="J59" s="32" t="s">
        <v>30</v>
      </c>
      <c r="K59" s="32" t="s">
        <v>22</v>
      </c>
      <c r="L59" s="32" t="s">
        <v>37</v>
      </c>
      <c r="M59" s="32" t="s">
        <v>17</v>
      </c>
      <c r="N59" s="32" t="s">
        <v>18</v>
      </c>
      <c r="O59" s="32" t="s">
        <v>18</v>
      </c>
      <c r="P59" s="33" t="s">
        <v>17</v>
      </c>
      <c r="Q59" s="34" t="str">
        <f t="shared" si="3"/>
        <v>Fallo en algo al detectar</v>
      </c>
      <c r="R59" s="35" t="str">
        <f t="shared" si="4"/>
        <v>Riesgo bajo</v>
      </c>
      <c r="S59" s="35" t="str">
        <f t="shared" si="0"/>
        <v>Posiblemente sea vulnerable</v>
      </c>
      <c r="AB59" s="121"/>
      <c r="AC59" s="75" t="s">
        <v>43</v>
      </c>
      <c r="AD59" s="123">
        <f>SUM(AD56:AD58)</f>
        <v>23</v>
      </c>
      <c r="AE59" s="124"/>
      <c r="AF59" s="78"/>
      <c r="AG59" s="121"/>
      <c r="AH59" s="18" t="s">
        <v>95</v>
      </c>
      <c r="AI59" s="105">
        <f>COUNTIF($AF$21:$AF$43,"Jovenes")</f>
        <v>3</v>
      </c>
      <c r="AJ59" s="109">
        <f>COUNTIF($AF$21:$AF$43,"Jovenes")/COUNTA($AF$21:$AF$43)</f>
        <v>0.13043478260869565</v>
      </c>
      <c r="AK59" s="130"/>
      <c r="AL59" s="79"/>
      <c r="AM59" s="78"/>
      <c r="AN59" s="78"/>
      <c r="AO59" s="79"/>
      <c r="AP59" s="79"/>
      <c r="AQ59" s="78"/>
    </row>
    <row r="60" spans="2:43" s="37" customFormat="1" ht="60" customHeight="1" x14ac:dyDescent="0.25">
      <c r="B60" s="47">
        <v>40</v>
      </c>
      <c r="C60" s="42">
        <v>18</v>
      </c>
      <c r="D60" s="42" t="s">
        <v>23</v>
      </c>
      <c r="E60" s="42" t="s">
        <v>9</v>
      </c>
      <c r="F60" s="42" t="s">
        <v>20</v>
      </c>
      <c r="G60" s="42" t="s">
        <v>11</v>
      </c>
      <c r="H60" s="42" t="s">
        <v>29</v>
      </c>
      <c r="I60" s="42" t="s">
        <v>13</v>
      </c>
      <c r="J60" s="42" t="s">
        <v>30</v>
      </c>
      <c r="K60" s="42" t="s">
        <v>22</v>
      </c>
      <c r="L60" s="42" t="s">
        <v>27</v>
      </c>
      <c r="M60" s="42" t="s">
        <v>17</v>
      </c>
      <c r="N60" s="42" t="s">
        <v>18</v>
      </c>
      <c r="O60" s="42" t="s">
        <v>17</v>
      </c>
      <c r="P60" s="43" t="s">
        <v>18</v>
      </c>
      <c r="Q60" s="34" t="str">
        <f t="shared" si="3"/>
        <v>Logro detectar todas las noticias</v>
      </c>
      <c r="R60" s="35" t="str">
        <f t="shared" si="4"/>
        <v>Riesgo bajo</v>
      </c>
      <c r="S60" s="35" t="str">
        <f t="shared" si="0"/>
        <v>Puede que no sea vulnerable</v>
      </c>
      <c r="AB60" s="30"/>
      <c r="AC60" s="79"/>
      <c r="AD60" s="78"/>
      <c r="AE60" s="78"/>
      <c r="AF60" s="78"/>
      <c r="AG60" s="121"/>
      <c r="AH60" s="72" t="s">
        <v>43</v>
      </c>
      <c r="AI60" s="123">
        <f>SUM(AI56:AI59)</f>
        <v>23</v>
      </c>
      <c r="AJ60" s="124"/>
      <c r="AK60" s="130"/>
      <c r="AL60" s="78"/>
      <c r="AM60" s="78"/>
      <c r="AN60" s="78"/>
      <c r="AO60" s="79"/>
      <c r="AP60" s="78"/>
      <c r="AQ60" s="78"/>
    </row>
    <row r="61" spans="2:43" s="37" customFormat="1" ht="60" customHeight="1" x14ac:dyDescent="0.25">
      <c r="B61" s="30"/>
      <c r="I61" s="48"/>
      <c r="K61" s="49"/>
      <c r="AB61" s="30"/>
      <c r="AC61" s="79"/>
      <c r="AD61" s="78"/>
      <c r="AE61" s="78"/>
      <c r="AF61" s="78"/>
      <c r="AG61" s="78"/>
      <c r="AH61" s="79"/>
      <c r="AI61" s="81"/>
      <c r="AJ61" s="78"/>
      <c r="AK61" s="79"/>
      <c r="AL61" s="78"/>
      <c r="AM61" s="78"/>
      <c r="AN61" s="78"/>
      <c r="AO61" s="78"/>
      <c r="AP61" s="78"/>
      <c r="AQ61" s="78"/>
    </row>
    <row r="62" spans="2:43" s="37" customFormat="1" ht="60" customHeight="1" x14ac:dyDescent="0.35">
      <c r="B62" s="30"/>
      <c r="I62" s="48"/>
      <c r="K62" s="49"/>
      <c r="AB62" s="121" t="s">
        <v>6</v>
      </c>
      <c r="AC62" s="21" t="s">
        <v>21</v>
      </c>
      <c r="AD62" s="105">
        <f>COUNTIF($AH$21:$AH$43,"No, creo que es algo que no se puede evitar")</f>
        <v>12</v>
      </c>
      <c r="AE62" s="112">
        <f>COUNTIF($AH$21:$AH$43,"No, creo que es algo que no se puede evitar")/COUNTA($AH$21:$AH$43)</f>
        <v>0.52173913043478259</v>
      </c>
      <c r="AF62" s="78"/>
      <c r="AG62" s="121" t="s">
        <v>42</v>
      </c>
      <c r="AH62" s="21" t="s">
        <v>22</v>
      </c>
      <c r="AI62" s="105">
        <f>COUNTIF($AI$21:$AI$43,"Saber identificar fuentes confiables")</f>
        <v>7</v>
      </c>
      <c r="AJ62" s="109">
        <f>COUNTIF($AI$21:$AI$43,"Saber identificar fuentes confiables")/COUNTA($AI$21:$AI$43)</f>
        <v>0.30434782608695654</v>
      </c>
      <c r="AK62" s="79"/>
      <c r="AL62" s="127" t="s">
        <v>7</v>
      </c>
      <c r="AM62" s="21" t="s">
        <v>37</v>
      </c>
      <c r="AN62" s="105">
        <f>COUNTIF($AJ$21:$AJ$43,"Sí, más de una vez")</f>
        <v>4</v>
      </c>
      <c r="AO62" s="109">
        <f>COUNTIF($AJ$21:$AJ$43,"Sí, más de una vez")/COUNTA($AJ$21:$AJ$43)</f>
        <v>0.17391304347826086</v>
      </c>
      <c r="AP62" s="78"/>
      <c r="AQ62" s="78"/>
    </row>
    <row r="63" spans="2:43" s="37" customFormat="1" ht="60" customHeight="1" x14ac:dyDescent="0.35">
      <c r="B63" s="30"/>
      <c r="I63" s="48"/>
      <c r="K63" s="49"/>
      <c r="AB63" s="121"/>
      <c r="AC63" s="21" t="s">
        <v>30</v>
      </c>
      <c r="AD63" s="105">
        <f>COUNTIF($AH$21:$AH$43,"Si, creo que deberían reducirse")</f>
        <v>8</v>
      </c>
      <c r="AE63" s="112">
        <f>COUNTIF($AH$21:$AH$43,"Si, creo que deberían reducirse")/COUNTA($AH$21:$AH$43)</f>
        <v>0.34782608695652173</v>
      </c>
      <c r="AF63" s="78"/>
      <c r="AG63" s="121"/>
      <c r="AH63" s="21" t="s">
        <v>15</v>
      </c>
      <c r="AI63" s="105">
        <f>COUNTIF($AI$21:$AI$43,"Pensamiento crítico")</f>
        <v>11</v>
      </c>
      <c r="AJ63" s="109">
        <f>COUNTIF($AI$21:$AI$43,"Pensamiento crítico")/COUNTA($AI$21:$AI$43)</f>
        <v>0.47826086956521741</v>
      </c>
      <c r="AK63" s="79"/>
      <c r="AL63" s="128"/>
      <c r="AM63" s="21" t="s">
        <v>27</v>
      </c>
      <c r="AN63" s="105">
        <f>COUNTIF($AJ$21:$AJ$43,"No, nunca")</f>
        <v>16</v>
      </c>
      <c r="AO63" s="109">
        <f>COUNTIF($AJ$21:$AJ$43,"No, nunca")/COUNTA($AJ$21:$AJ$43)</f>
        <v>0.69565217391304346</v>
      </c>
      <c r="AP63" s="79"/>
      <c r="AQ63" s="78"/>
    </row>
    <row r="64" spans="2:43" s="37" customFormat="1" ht="60" customHeight="1" x14ac:dyDescent="0.35">
      <c r="B64" s="30"/>
      <c r="C64" s="122" t="s">
        <v>40</v>
      </c>
      <c r="D64" s="18" t="s">
        <v>34</v>
      </c>
      <c r="E64" s="105">
        <f>COUNTIF($D$21:$D$60,"Facebook")</f>
        <v>1</v>
      </c>
      <c r="F64" s="104">
        <f>COUNTIF($D$21:$D$60,"Facebook")/COUNTA($D$21:$D$60)</f>
        <v>2.5000000000000001E-2</v>
      </c>
      <c r="G64" s="130"/>
      <c r="H64" s="122" t="s">
        <v>1</v>
      </c>
      <c r="I64" s="18" t="s">
        <v>69</v>
      </c>
      <c r="J64" s="107">
        <f>COUNTIF($E$21:$E$60, "Frecuentemente")</f>
        <v>14</v>
      </c>
      <c r="K64" s="108">
        <f>COUNTIF($E$21:$E$60,"Frecuentemente")/COUNTA($E$21:$E$60)</f>
        <v>0.35</v>
      </c>
      <c r="L64" s="78"/>
      <c r="M64" s="121" t="s">
        <v>2</v>
      </c>
      <c r="N64" s="22" t="s">
        <v>72</v>
      </c>
      <c r="O64" s="105">
        <f>COUNTIF($F$21:$F$60,"Siempre")</f>
        <v>23</v>
      </c>
      <c r="P64" s="109">
        <f>COUNTIF($F$21:$F$60,"Siempre")/COUNTA($F$21:$F$60)</f>
        <v>0.57499999999999996</v>
      </c>
      <c r="Q64" s="78"/>
      <c r="S64" s="77"/>
      <c r="AB64" s="121"/>
      <c r="AC64" s="21" t="s">
        <v>14</v>
      </c>
      <c r="AD64" s="105">
        <f>COUNTIF($AH$21:$AH$43,"No lo sé, no había pensado en ello")</f>
        <v>3</v>
      </c>
      <c r="AE64" s="112">
        <f>COUNTIF($AH$21:$AH$43,"No lo sé, no había pensado en ello")/COUNTA($AH$21:$AH$43)</f>
        <v>0.13043478260869565</v>
      </c>
      <c r="AF64" s="78"/>
      <c r="AG64" s="121"/>
      <c r="AH64" s="21" t="s">
        <v>26</v>
      </c>
      <c r="AI64" s="105">
        <f>COUNTIF($AI$21:$AI$43,"Tener experiencia en las redes sociales para saber distinguirlas")</f>
        <v>5</v>
      </c>
      <c r="AJ64" s="109">
        <f>COUNTIF($AI$21:$AI$43,"Tener experiencia en las redes sociales para saber distinguirlas")/COUNTA($AI$21:$AI$43)</f>
        <v>0.21739130434782608</v>
      </c>
      <c r="AK64" s="79"/>
      <c r="AL64" s="128"/>
      <c r="AM64" s="21" t="s">
        <v>33</v>
      </c>
      <c r="AN64" s="105">
        <f>COUNTIF($AJ$21:$AJ$43,"No lo sé / No lo recuerdo")</f>
        <v>2</v>
      </c>
      <c r="AO64" s="109">
        <f>COUNTIF($AJ$21:$AJ$43,"No lo sé / No lo recuerdo")/COUNTA($AJ$21:$AJ$43)</f>
        <v>8.6956521739130432E-2</v>
      </c>
      <c r="AP64" s="79"/>
      <c r="AQ64" s="78"/>
    </row>
    <row r="65" spans="2:44" s="37" customFormat="1" ht="60" customHeight="1" x14ac:dyDescent="0.25">
      <c r="B65" s="30"/>
      <c r="C65" s="122"/>
      <c r="D65" s="18" t="s">
        <v>23</v>
      </c>
      <c r="E65" s="105">
        <f>COUNTIF($D$21:$D$60,"Instagram")</f>
        <v>14</v>
      </c>
      <c r="F65" s="104">
        <f>COUNTIF($D$21:$D$60,"Instagram")/COUNTA($D$21:$D$60)</f>
        <v>0.35</v>
      </c>
      <c r="G65" s="130"/>
      <c r="H65" s="122"/>
      <c r="I65" s="18" t="s">
        <v>71</v>
      </c>
      <c r="J65" s="107">
        <f>COUNTIF($E$21:$E$60,"Rara vez")</f>
        <v>7</v>
      </c>
      <c r="K65" s="108">
        <f>COUNTIF($E$21:$E$60,"Rara vez")/COUNTA($E$21:$E$60)</f>
        <v>0.17499999999999999</v>
      </c>
      <c r="L65" s="78"/>
      <c r="M65" s="121"/>
      <c r="N65" s="22" t="s">
        <v>73</v>
      </c>
      <c r="O65" s="105">
        <f>COUNTIF($F$21:$F$60,"A veces")</f>
        <v>15</v>
      </c>
      <c r="P65" s="109">
        <f>COUNTIF($F$21:$F$60,"A veces")/COUNTA($F$21:$F$60)</f>
        <v>0.375</v>
      </c>
      <c r="Q65" s="78"/>
      <c r="AB65" s="121"/>
      <c r="AC65" s="72" t="s">
        <v>43</v>
      </c>
      <c r="AD65" s="123">
        <f>SUM(AD62:AD64)</f>
        <v>23</v>
      </c>
      <c r="AE65" s="124"/>
      <c r="AF65" s="78"/>
      <c r="AG65" s="121"/>
      <c r="AH65" s="72" t="s">
        <v>43</v>
      </c>
      <c r="AI65" s="123">
        <f>SUM(AI62:AI64)</f>
        <v>23</v>
      </c>
      <c r="AJ65" s="124"/>
      <c r="AK65" s="79"/>
      <c r="AL65" s="128"/>
      <c r="AM65" s="28" t="s">
        <v>84</v>
      </c>
      <c r="AN65" s="105">
        <f>COUNTIF($AJ$21:$AJ$43,"Sí, una vez")</f>
        <v>1</v>
      </c>
      <c r="AO65" s="109">
        <f>COUNTIF($AJ$21:$AJ$43,"Sí, una vez")/COUNTA($AJ$21:$AJ$43)</f>
        <v>4.3478260869565216E-2</v>
      </c>
      <c r="AP65" s="78"/>
      <c r="AQ65" s="78"/>
    </row>
    <row r="66" spans="2:44" s="37" customFormat="1" ht="60" customHeight="1" x14ac:dyDescent="0.25">
      <c r="B66" s="30"/>
      <c r="C66" s="122"/>
      <c r="D66" s="18" t="s">
        <v>67</v>
      </c>
      <c r="E66" s="105">
        <f>COUNTIF($D$21:$D$60,"X (ex Twitter)")</f>
        <v>4</v>
      </c>
      <c r="F66" s="104">
        <f>COUNTIF($D$21:$D$60,"X (ex Twitter)")/COUNTA($D$21:$D$60)</f>
        <v>0.1</v>
      </c>
      <c r="G66" s="130"/>
      <c r="H66" s="122"/>
      <c r="I66" s="18" t="s">
        <v>70</v>
      </c>
      <c r="J66" s="107">
        <f>COUNTIF($E$21:$E$60,"A veces")</f>
        <v>19</v>
      </c>
      <c r="K66" s="108">
        <f>COUNTIF($E$21:$E$60,"A veces")/COUNTA($E$21:$E$60)</f>
        <v>0.47499999999999998</v>
      </c>
      <c r="L66" s="78"/>
      <c r="M66" s="121"/>
      <c r="N66" s="22" t="s">
        <v>74</v>
      </c>
      <c r="O66" s="105">
        <f>COUNTIF($F$21:$F$60, "Nunca")</f>
        <v>2</v>
      </c>
      <c r="P66" s="109">
        <f>COUNTIF($F$21:$F$60,"Nunca")/COUNTA($F$21:$F$60)</f>
        <v>0.05</v>
      </c>
      <c r="Q66" s="78"/>
      <c r="AB66" s="30"/>
      <c r="AC66" s="79"/>
      <c r="AD66" s="79"/>
      <c r="AE66" s="78"/>
      <c r="AF66" s="78"/>
      <c r="AG66" s="78"/>
      <c r="AH66" s="78"/>
      <c r="AI66" s="79"/>
      <c r="AJ66" s="78"/>
      <c r="AK66" s="79"/>
      <c r="AL66" s="129"/>
      <c r="AM66" s="72" t="s">
        <v>43</v>
      </c>
      <c r="AN66" s="123">
        <f>SUM(AN62:AN65)</f>
        <v>23</v>
      </c>
      <c r="AO66" s="124"/>
      <c r="AP66" s="78"/>
      <c r="AQ66" s="78"/>
    </row>
    <row r="67" spans="2:44" s="37" customFormat="1" ht="60" customHeight="1" x14ac:dyDescent="0.25">
      <c r="B67" s="30"/>
      <c r="C67" s="122"/>
      <c r="D67" s="18" t="s">
        <v>47</v>
      </c>
      <c r="E67" s="105">
        <f>COUNTIF($D$21:$D$60,"Tiktok")</f>
        <v>14</v>
      </c>
      <c r="F67" s="104">
        <f>COUNTIF($D$21:$D$60,"Tiktok")/COUNTA($D$21:$D$60)</f>
        <v>0.35</v>
      </c>
      <c r="G67" s="130"/>
      <c r="H67" s="122"/>
      <c r="I67" s="29" t="s">
        <v>43</v>
      </c>
      <c r="J67" s="145">
        <f>SUM(J64:J66)</f>
        <v>40</v>
      </c>
      <c r="K67" s="146"/>
      <c r="L67" s="78"/>
      <c r="M67" s="121"/>
      <c r="N67" s="25" t="s">
        <v>43</v>
      </c>
      <c r="O67" s="134">
        <f>SUM(O64:O66)</f>
        <v>40</v>
      </c>
      <c r="P67" s="135"/>
      <c r="Q67" s="78"/>
      <c r="AB67" s="30"/>
      <c r="AC67" s="79"/>
      <c r="AD67" s="82"/>
      <c r="AE67" s="82"/>
      <c r="AF67" s="82"/>
      <c r="AG67" s="82"/>
      <c r="AH67" s="82"/>
      <c r="AI67" s="83"/>
      <c r="AJ67" s="82"/>
      <c r="AK67" s="84"/>
      <c r="AL67" s="82"/>
      <c r="AM67" s="82"/>
      <c r="AN67" s="82"/>
      <c r="AO67" s="82"/>
      <c r="AP67" s="82"/>
      <c r="AQ67" s="82"/>
    </row>
    <row r="68" spans="2:44" s="37" customFormat="1" ht="60" customHeight="1" x14ac:dyDescent="0.35">
      <c r="B68" s="30"/>
      <c r="C68" s="122"/>
      <c r="D68" s="18" t="s">
        <v>68</v>
      </c>
      <c r="E68" s="105">
        <f>COUNTIF($D$21:$D$60,"Youtube")</f>
        <v>4</v>
      </c>
      <c r="F68" s="104">
        <f>COUNTIF($D$21:$D$60,"Youtube")/COUNTA($D$21:$D$60)</f>
        <v>0.1</v>
      </c>
      <c r="G68" s="20"/>
      <c r="H68" s="20"/>
      <c r="I68" s="27"/>
      <c r="J68" s="20"/>
      <c r="K68" s="27"/>
      <c r="L68" s="20"/>
      <c r="M68" s="20"/>
      <c r="N68" s="20"/>
      <c r="O68" s="20"/>
      <c r="P68" s="20"/>
      <c r="Q68" s="20"/>
      <c r="AB68" s="127" t="s">
        <v>87</v>
      </c>
      <c r="AC68" s="21" t="s">
        <v>104</v>
      </c>
      <c r="AD68" s="107">
        <f>COUNTIF($AO$21:$AO$43,"Logro detectar todas las noticias")</f>
        <v>12</v>
      </c>
      <c r="AE68" s="112">
        <f>COUNTIF($AO$21:$AO$43,"Logro detectar todas las noticias")/COUNTA($AO$21:$AO$43)</f>
        <v>0.52173913043478259</v>
      </c>
      <c r="AG68" s="127" t="s">
        <v>60</v>
      </c>
      <c r="AH68" s="18" t="s">
        <v>88</v>
      </c>
      <c r="AI68" s="105">
        <f>COUNTIF($AP$21:$AP$43,"Riesgo alto")</f>
        <v>11</v>
      </c>
      <c r="AJ68" s="112">
        <f>COUNTIF($AP$21:$AP$43,"Riesgo alto")/COUNTA($AP$21:$AP$43)</f>
        <v>0.47826086956521741</v>
      </c>
      <c r="AL68" s="127" t="s">
        <v>62</v>
      </c>
      <c r="AM68" s="21" t="s">
        <v>90</v>
      </c>
      <c r="AN68" s="105">
        <f>COUNTIF($AQ$21:$AQ$43,"Posiblemente sea vulnerable")</f>
        <v>7</v>
      </c>
      <c r="AO68" s="112">
        <f>COUNTIF($AQ$21:$AQ$43,"Posiblemente sea vulnerable")/COUNTA($AQ$21:$AQ$43)</f>
        <v>0.30434782608695654</v>
      </c>
    </row>
    <row r="69" spans="2:44" s="37" customFormat="1" ht="60" customHeight="1" x14ac:dyDescent="0.35">
      <c r="B69" s="30"/>
      <c r="C69" s="122"/>
      <c r="D69" s="24" t="s">
        <v>39</v>
      </c>
      <c r="E69" s="106">
        <f>COUNTIF($D$21:$D$60,"Google")</f>
        <v>2</v>
      </c>
      <c r="F69" s="104">
        <f>COUNTIF($D$21:$D$60,"Google")/COUNTA($D$21:$D$60)</f>
        <v>0.05</v>
      </c>
      <c r="G69" s="20"/>
      <c r="H69" s="121" t="s">
        <v>3</v>
      </c>
      <c r="I69" s="18" t="s">
        <v>75</v>
      </c>
      <c r="J69" s="105">
        <f>COUNTIF($G$21:$G$60,"Poco")</f>
        <v>32</v>
      </c>
      <c r="K69" s="108">
        <f>COUNTIF($G$21:$G$60,"Poco")/COUNTA($G$21:$G$60)</f>
        <v>0.8</v>
      </c>
      <c r="L69" s="79"/>
      <c r="M69" s="121" t="s">
        <v>4</v>
      </c>
      <c r="N69" s="18" t="s">
        <v>79</v>
      </c>
      <c r="O69" s="105">
        <f>COUNTIF($H$21:$H$60,"Gente mayor")</f>
        <v>15</v>
      </c>
      <c r="P69" s="109">
        <f>COUNTIF($H$21:$H$60,"Gente mayor")/COUNTA($H$21:$H$60)</f>
        <v>0.375</v>
      </c>
      <c r="Q69" s="78"/>
      <c r="AB69" s="128"/>
      <c r="AC69" s="21" t="s">
        <v>86</v>
      </c>
      <c r="AD69" s="107">
        <f>COUNTIF($AO$21:$AO$43,"Fallo en algo al detectar")</f>
        <v>11</v>
      </c>
      <c r="AE69" s="112">
        <f>COUNTIF($AO$21:$AO$43,"Fallo en algo al detectar")/COUNTA($AO$21:$AO$43)</f>
        <v>0.47826086956521741</v>
      </c>
      <c r="AF69" s="78"/>
      <c r="AG69" s="128"/>
      <c r="AH69" s="18" t="s">
        <v>89</v>
      </c>
      <c r="AI69" s="105">
        <f>COUNTIF($AP$21:$AP$43,"Riesgo bajo")</f>
        <v>12</v>
      </c>
      <c r="AJ69" s="112">
        <f>COUNTIF($AP$21:$AP$43,"Riesgo bajo")/COUNTA($AP$21:$AP$43)</f>
        <v>0.52173913043478259</v>
      </c>
      <c r="AK69" s="130"/>
      <c r="AL69" s="128"/>
      <c r="AM69" s="21" t="s">
        <v>91</v>
      </c>
      <c r="AN69" s="105">
        <f>COUNTIF($AQ$21:$AQ$43,"Puede que no sea vulnerable")</f>
        <v>16</v>
      </c>
      <c r="AO69" s="112">
        <f>COUNTIF($AQ$21:$AQ$43,"Puede que no sea vulnerable")/COUNTA($AQ$21:$AQ$43)</f>
        <v>0.69565217391304346</v>
      </c>
      <c r="AP69" s="79"/>
      <c r="AQ69" s="78"/>
      <c r="AR69" s="82"/>
    </row>
    <row r="70" spans="2:44" s="37" customFormat="1" ht="60" customHeight="1" x14ac:dyDescent="0.25">
      <c r="B70" s="30"/>
      <c r="C70" s="122"/>
      <c r="D70" s="18" t="s">
        <v>78</v>
      </c>
      <c r="E70" s="105">
        <f>COUNTIF($D$21:$D$60,"todas la redes")</f>
        <v>1</v>
      </c>
      <c r="F70" s="104">
        <f>COUNTIF($D$21:$D$60,"todas la redes")/COUNTA($D$21:$D$60)</f>
        <v>2.5000000000000001E-2</v>
      </c>
      <c r="G70" s="20"/>
      <c r="H70" s="121"/>
      <c r="I70" s="18" t="s">
        <v>76</v>
      </c>
      <c r="J70" s="105">
        <f>COUNTIF($G$21:$G$60,"Mucho")</f>
        <v>7</v>
      </c>
      <c r="K70" s="108">
        <f>COUNTIF($G$21:$G$60,"Mucho")/COUNTA($G$21:$G$60)</f>
        <v>0.17499999999999999</v>
      </c>
      <c r="L70" s="79"/>
      <c r="M70" s="121"/>
      <c r="N70" s="18" t="s">
        <v>80</v>
      </c>
      <c r="O70" s="105">
        <f>COUNTIF($H$21:$H$60,"Ambos")</f>
        <v>22</v>
      </c>
      <c r="P70" s="109">
        <f>COUNTIF($H$21:$H$60,"Ambos")/COUNTA($H$21:$H$60)</f>
        <v>0.55000000000000004</v>
      </c>
      <c r="Q70" s="78"/>
      <c r="AB70" s="129"/>
      <c r="AC70" s="71" t="s">
        <v>43</v>
      </c>
      <c r="AD70" s="125">
        <f>SUM(AD68:AD69)</f>
        <v>23</v>
      </c>
      <c r="AE70" s="126"/>
      <c r="AF70" s="78"/>
      <c r="AG70" s="129"/>
      <c r="AH70" s="72" t="s">
        <v>43</v>
      </c>
      <c r="AI70" s="123">
        <f>SUM(AI68:AI69)</f>
        <v>23</v>
      </c>
      <c r="AJ70" s="124"/>
      <c r="AK70" s="130"/>
      <c r="AL70" s="129"/>
      <c r="AM70" s="72" t="s">
        <v>43</v>
      </c>
      <c r="AN70" s="123">
        <f>SUM(AN68:AN69)</f>
        <v>23</v>
      </c>
      <c r="AO70" s="124"/>
      <c r="AP70" s="79"/>
      <c r="AQ70" s="78"/>
      <c r="AR70" s="82"/>
    </row>
    <row r="71" spans="2:44" s="37" customFormat="1" ht="60" customHeight="1" x14ac:dyDescent="0.25">
      <c r="B71" s="30"/>
      <c r="C71" s="122"/>
      <c r="D71" s="72" t="s">
        <v>43</v>
      </c>
      <c r="E71" s="80">
        <f>SUM(E64:E70)</f>
        <v>40</v>
      </c>
      <c r="F71" s="73"/>
      <c r="G71" s="20"/>
      <c r="H71" s="121"/>
      <c r="I71" s="23" t="s">
        <v>77</v>
      </c>
      <c r="J71" s="105">
        <f>COUNTIF($G$21:$G$60, "Nada")</f>
        <v>1</v>
      </c>
      <c r="K71" s="108">
        <f>COUNTIF($G$21:$G$60,"Nada")/COUNTA($G$21:$G$60)</f>
        <v>2.5000000000000001E-2</v>
      </c>
      <c r="L71" s="79"/>
      <c r="M71" s="121"/>
      <c r="N71" s="18" t="s">
        <v>81</v>
      </c>
      <c r="O71" s="105">
        <f>COUNTIF($H$21:$H$60,"Ninguno")</f>
        <v>1</v>
      </c>
      <c r="P71" s="109">
        <f>COUNTIF($H$21:$H$60,"Ninguno")/COUNTA($H$21:$H$60)</f>
        <v>2.5000000000000001E-2</v>
      </c>
      <c r="Q71" s="78"/>
      <c r="AC71" s="79"/>
      <c r="AD71" s="78"/>
      <c r="AE71" s="78"/>
      <c r="AF71" s="78"/>
      <c r="AG71" s="79"/>
      <c r="AH71" s="78"/>
      <c r="AI71" s="79"/>
      <c r="AJ71" s="78"/>
      <c r="AK71" s="130"/>
      <c r="AL71" s="79"/>
      <c r="AM71" s="78"/>
      <c r="AN71" s="78"/>
      <c r="AO71" s="79"/>
      <c r="AP71" s="79"/>
      <c r="AQ71" s="78"/>
      <c r="AR71" s="82"/>
    </row>
    <row r="72" spans="2:44" s="37" customFormat="1" ht="60" customHeight="1" x14ac:dyDescent="0.25">
      <c r="B72" s="30"/>
      <c r="C72" s="20"/>
      <c r="D72" s="20"/>
      <c r="E72" s="20"/>
      <c r="F72" s="20"/>
      <c r="G72" s="20"/>
      <c r="H72" s="121"/>
      <c r="I72" s="26" t="s">
        <v>43</v>
      </c>
      <c r="J72" s="134">
        <f>SUM(J69:J71)</f>
        <v>40</v>
      </c>
      <c r="K72" s="135"/>
      <c r="L72" s="79"/>
      <c r="M72" s="121"/>
      <c r="N72" s="18" t="s">
        <v>96</v>
      </c>
      <c r="O72" s="105">
        <f>COUNTIF($H$21:$H$60,"Jovenes")</f>
        <v>2</v>
      </c>
      <c r="P72" s="109">
        <f>COUNTIF($H$21:$H$60,"Jovenes")/COUNTA($H$21:$H$60)</f>
        <v>0.05</v>
      </c>
      <c r="Q72" s="78"/>
      <c r="AC72" s="79"/>
      <c r="AD72" s="78"/>
      <c r="AE72" s="78"/>
      <c r="AF72" s="78"/>
      <c r="AG72" s="78"/>
      <c r="AH72" s="78"/>
      <c r="AI72" s="79"/>
      <c r="AJ72" s="78"/>
      <c r="AK72" s="130"/>
      <c r="AL72" s="78"/>
      <c r="AM72" s="78"/>
      <c r="AN72" s="78"/>
      <c r="AO72" s="79"/>
      <c r="AP72" s="78"/>
      <c r="AQ72" s="78"/>
      <c r="AR72" s="82"/>
    </row>
    <row r="73" spans="2:44" s="37" customFormat="1" ht="60" customHeight="1" x14ac:dyDescent="0.25">
      <c r="B73" s="30"/>
      <c r="C73" s="20"/>
      <c r="D73" s="20"/>
      <c r="E73" s="20"/>
      <c r="F73" s="20"/>
      <c r="G73" s="20"/>
      <c r="H73" s="20"/>
      <c r="I73" s="27"/>
      <c r="J73" s="20"/>
      <c r="K73" s="27"/>
      <c r="L73" s="20"/>
      <c r="M73" s="121"/>
      <c r="N73" s="72" t="s">
        <v>43</v>
      </c>
      <c r="O73" s="123">
        <f>SUM(O69:O72)</f>
        <v>40</v>
      </c>
      <c r="P73" s="124"/>
      <c r="Q73" s="20"/>
      <c r="AC73" s="79"/>
      <c r="AD73" s="78"/>
      <c r="AE73" s="78"/>
      <c r="AF73" s="78"/>
      <c r="AG73" s="78"/>
      <c r="AH73" s="78"/>
      <c r="AI73" s="79"/>
      <c r="AJ73" s="78"/>
      <c r="AK73" s="79"/>
      <c r="AL73" s="78"/>
      <c r="AM73" s="78"/>
      <c r="AN73" s="78"/>
      <c r="AO73" s="78"/>
      <c r="AP73" s="78"/>
      <c r="AQ73" s="78"/>
      <c r="AR73" s="82"/>
    </row>
    <row r="74" spans="2:44" s="37" customFormat="1" ht="60" customHeight="1" x14ac:dyDescent="0.25">
      <c r="B74" s="30"/>
      <c r="C74" s="20"/>
      <c r="D74" s="20"/>
      <c r="E74" s="20"/>
      <c r="F74" s="20"/>
      <c r="G74" s="20"/>
      <c r="H74" s="20"/>
      <c r="I74" s="27"/>
      <c r="J74" s="20"/>
      <c r="K74" s="27"/>
      <c r="L74" s="20"/>
      <c r="M74" s="20"/>
      <c r="N74" s="20"/>
      <c r="O74" s="20"/>
      <c r="P74" s="20"/>
      <c r="Q74" s="20"/>
      <c r="AC74" s="20"/>
      <c r="AD74" s="20"/>
      <c r="AE74" s="20"/>
      <c r="AF74" s="20"/>
      <c r="AG74" s="20"/>
      <c r="AH74" s="20"/>
      <c r="AI74" s="27"/>
      <c r="AJ74" s="20"/>
      <c r="AK74" s="27"/>
      <c r="AL74" s="20"/>
      <c r="AM74" s="20"/>
      <c r="AN74" s="20"/>
      <c r="AO74" s="20"/>
      <c r="AP74" s="20"/>
      <c r="AQ74" s="20"/>
    </row>
    <row r="75" spans="2:44" s="37" customFormat="1" ht="60" customHeight="1" x14ac:dyDescent="0.25">
      <c r="B75" s="30"/>
      <c r="C75" s="121" t="s">
        <v>92</v>
      </c>
      <c r="D75" s="18" t="s">
        <v>83</v>
      </c>
      <c r="E75" s="107">
        <f>COUNTIF($I$21:$I$60,"No")</f>
        <v>8</v>
      </c>
      <c r="F75" s="104">
        <f>COUNTIF($I$21:$I$60,"No")/COUNTA($I$21:$I$60)</f>
        <v>0.2</v>
      </c>
      <c r="G75" s="130"/>
      <c r="H75" s="121" t="s">
        <v>6</v>
      </c>
      <c r="I75" s="21" t="s">
        <v>21</v>
      </c>
      <c r="J75" s="105">
        <f>COUNTIF($J$21:$J$60,"No, creo que es algo que no se puede evitar")</f>
        <v>8</v>
      </c>
      <c r="K75" s="108">
        <f>COUNTIF($J$21:$J$60,"No, creo que es algo que no se puede evitar")/COUNTA($J$21:$J$60)</f>
        <v>0.2</v>
      </c>
      <c r="L75" s="79"/>
      <c r="M75" s="127" t="s">
        <v>42</v>
      </c>
      <c r="N75" s="21" t="s">
        <v>22</v>
      </c>
      <c r="O75" s="110">
        <f>COUNTIF($K$21:$K$60,"Saber identificar fuentes confiables")</f>
        <v>19</v>
      </c>
      <c r="P75" s="108">
        <f>COUNTIF($K$21:$K$60,"Saber identificar fuentes confiables")/COUNTA($K$21:$K$60)</f>
        <v>0.47499999999999998</v>
      </c>
      <c r="Q75" s="78"/>
      <c r="AC75" s="130"/>
      <c r="AD75" s="79"/>
      <c r="AE75" s="78"/>
      <c r="AF75" s="78"/>
      <c r="AG75" s="79"/>
      <c r="AH75" s="79"/>
      <c r="AI75" s="79"/>
      <c r="AJ75" s="78"/>
      <c r="AK75" s="79"/>
      <c r="AL75" s="78"/>
      <c r="AM75" s="78"/>
      <c r="AN75" s="78"/>
      <c r="AO75" s="79"/>
      <c r="AP75" s="79"/>
      <c r="AQ75" s="78"/>
    </row>
    <row r="76" spans="2:44" s="37" customFormat="1" ht="60" customHeight="1" x14ac:dyDescent="0.25">
      <c r="B76" s="30"/>
      <c r="C76" s="121"/>
      <c r="D76" s="18" t="s">
        <v>82</v>
      </c>
      <c r="E76" s="107">
        <f>COUNTIF($I$21:$I$60,"Si")</f>
        <v>32</v>
      </c>
      <c r="F76" s="104">
        <f>COUNTIF($I$21:$I$60,"Si")/COUNTA($I$21:$I$60)</f>
        <v>0.8</v>
      </c>
      <c r="G76" s="130"/>
      <c r="H76" s="121"/>
      <c r="I76" s="21" t="s">
        <v>30</v>
      </c>
      <c r="J76" s="105">
        <f>COUNTIF($J$21:$J$60,"Si, creo que deberían reducirse")</f>
        <v>28</v>
      </c>
      <c r="K76" s="108">
        <f>COUNTIF($J$21:$J$60,"Si, creo que deberían reducirse")/COUNTA($J$21:$J$60)</f>
        <v>0.7</v>
      </c>
      <c r="L76" s="79"/>
      <c r="M76" s="128"/>
      <c r="N76" s="21" t="s">
        <v>15</v>
      </c>
      <c r="O76" s="110">
        <f>COUNTIF($K$21:$K$60,"Pensamiento crítico")</f>
        <v>15</v>
      </c>
      <c r="P76" s="108">
        <f>COUNTIF($K$21:$K$60,"Pensamiento crítico")/COUNTA($K$21:$K$60)</f>
        <v>0.375</v>
      </c>
      <c r="Q76" s="78"/>
      <c r="AC76" s="130"/>
      <c r="AD76" s="79"/>
      <c r="AE76" s="78"/>
      <c r="AF76" s="78"/>
      <c r="AG76" s="79"/>
      <c r="AH76" s="79"/>
      <c r="AI76" s="79"/>
      <c r="AJ76" s="78"/>
      <c r="AK76" s="79"/>
      <c r="AL76" s="78"/>
      <c r="AM76" s="78"/>
      <c r="AN76" s="78"/>
      <c r="AO76" s="79"/>
      <c r="AP76" s="79"/>
      <c r="AQ76" s="78"/>
    </row>
    <row r="77" spans="2:44" s="37" customFormat="1" ht="60" customHeight="1" x14ac:dyDescent="0.25">
      <c r="B77" s="30"/>
      <c r="C77" s="121"/>
      <c r="D77" s="72" t="s">
        <v>43</v>
      </c>
      <c r="E77" s="125">
        <f>SUM(E75:E76)</f>
        <v>40</v>
      </c>
      <c r="F77" s="126"/>
      <c r="G77" s="130"/>
      <c r="H77" s="121"/>
      <c r="I77" s="21" t="s">
        <v>14</v>
      </c>
      <c r="J77" s="105">
        <f>COUNTIF($J$21:$J$60,"No lo sé, no había pensado en ello")</f>
        <v>4</v>
      </c>
      <c r="K77" s="108">
        <f>COUNTIF($J$21:$J$60,"No lo sé, no había pensado en ello")/COUNTA($J$21:$J$60)</f>
        <v>0.1</v>
      </c>
      <c r="L77" s="79"/>
      <c r="M77" s="128"/>
      <c r="N77" s="21" t="s">
        <v>26</v>
      </c>
      <c r="O77" s="110">
        <f>COUNTIF($K$21:$K$60,"Tener experiencia en las redes sociales para saber distinguirlas")</f>
        <v>6</v>
      </c>
      <c r="P77" s="108">
        <f>COUNTIF($K$21:$K$60,"Tener experiencia en las redes sociales para saber distinguirlas")/COUNTA($K$21:$K$60)</f>
        <v>0.15</v>
      </c>
      <c r="Q77" s="78"/>
      <c r="T77" s="130"/>
      <c r="U77" s="78"/>
      <c r="V77" s="78"/>
      <c r="AC77" s="130"/>
      <c r="AD77" s="79"/>
      <c r="AE77" s="78"/>
      <c r="AF77" s="78"/>
      <c r="AG77" s="79"/>
      <c r="AH77" s="79"/>
      <c r="AI77" s="79"/>
      <c r="AJ77" s="78"/>
      <c r="AK77" s="79"/>
      <c r="AL77" s="78"/>
      <c r="AM77" s="78"/>
      <c r="AN77" s="78"/>
      <c r="AO77" s="79"/>
      <c r="AP77" s="78"/>
      <c r="AQ77" s="78"/>
    </row>
    <row r="78" spans="2:44" s="37" customFormat="1" ht="60" customHeight="1" x14ac:dyDescent="0.25">
      <c r="B78" s="30"/>
      <c r="C78" s="79"/>
      <c r="D78" s="78"/>
      <c r="E78" s="78"/>
      <c r="F78" s="20"/>
      <c r="G78" s="20"/>
      <c r="H78" s="121"/>
      <c r="I78" s="72" t="s">
        <v>43</v>
      </c>
      <c r="J78" s="123">
        <f>SUM(J75:J77)</f>
        <v>40</v>
      </c>
      <c r="K78" s="124"/>
      <c r="L78" s="78"/>
      <c r="M78" s="129"/>
      <c r="N78" s="72" t="s">
        <v>43</v>
      </c>
      <c r="O78" s="123">
        <f>SUM(O75:O77)</f>
        <v>40</v>
      </c>
      <c r="P78" s="124"/>
      <c r="Q78" s="78"/>
      <c r="T78" s="130"/>
      <c r="U78" s="78"/>
      <c r="V78" s="78"/>
      <c r="AC78" s="130"/>
      <c r="AD78" s="79"/>
      <c r="AE78" s="78"/>
      <c r="AF78" s="78"/>
      <c r="AG78" s="78"/>
      <c r="AH78" s="78"/>
      <c r="AI78" s="79"/>
      <c r="AJ78" s="78"/>
      <c r="AK78" s="79"/>
      <c r="AL78" s="78"/>
      <c r="AM78" s="78"/>
      <c r="AN78" s="78"/>
      <c r="AO78" s="78"/>
      <c r="AP78" s="78"/>
      <c r="AQ78" s="78"/>
    </row>
    <row r="79" spans="2:44" s="37" customFormat="1" ht="60" customHeight="1" x14ac:dyDescent="0.25">
      <c r="B79" s="30"/>
      <c r="C79" s="79"/>
      <c r="D79" s="78"/>
      <c r="E79" s="78"/>
      <c r="F79" s="20"/>
      <c r="G79" s="20"/>
      <c r="H79" s="20"/>
      <c r="I79" s="27"/>
      <c r="J79" s="20"/>
      <c r="K79" s="27"/>
      <c r="L79" s="20"/>
      <c r="M79" s="20"/>
      <c r="N79" s="20"/>
      <c r="O79" s="20"/>
      <c r="P79" s="20"/>
      <c r="Q79" s="20"/>
      <c r="T79" s="130"/>
      <c r="U79" s="78"/>
      <c r="V79" s="78"/>
      <c r="AC79" s="130"/>
      <c r="AD79" s="82"/>
      <c r="AE79" s="82"/>
      <c r="AI79" s="48"/>
      <c r="AK79" s="49"/>
    </row>
    <row r="80" spans="2:44" s="37" customFormat="1" ht="60" customHeight="1" x14ac:dyDescent="0.25">
      <c r="B80" s="30"/>
      <c r="C80" s="121" t="s">
        <v>7</v>
      </c>
      <c r="D80" s="21" t="s">
        <v>37</v>
      </c>
      <c r="E80" s="105">
        <f>COUNTIF($L$21:$L$60,"Sí, más de una vez")</f>
        <v>4</v>
      </c>
      <c r="F80" s="104">
        <f>COUNTIF($L$21:$L$60,"Sí, más de una vez")/COUNTA($L$21:$L$60)</f>
        <v>0.1</v>
      </c>
      <c r="G80" s="130"/>
      <c r="H80" s="121" t="s">
        <v>87</v>
      </c>
      <c r="I80" s="21" t="s">
        <v>85</v>
      </c>
      <c r="J80" s="107">
        <f>COUNTIF($Q$21:$Q$60,"Logro detectar todas las noticias")</f>
        <v>13</v>
      </c>
      <c r="K80" s="108">
        <f>COUNTIF($Q$21:$Q$60,"Logro detectar todas las noticias")/COUNTA($Q$21:$Q$60)</f>
        <v>0.32500000000000001</v>
      </c>
      <c r="L80" s="78"/>
      <c r="M80" s="127" t="s">
        <v>62</v>
      </c>
      <c r="N80" s="21" t="s">
        <v>90</v>
      </c>
      <c r="O80" s="110">
        <f>COUNTIF($S$21:$S$60,"Posiblemente sea vulnerable")</f>
        <v>9</v>
      </c>
      <c r="P80" s="108">
        <f>COUNTIF($S$21:$S$60,"Posiblemente sea vulnerable")/COUNTA($S$21:$S$60)</f>
        <v>0.22500000000000001</v>
      </c>
      <c r="Q80" s="78"/>
      <c r="R80" s="121" t="s">
        <v>60</v>
      </c>
      <c r="S80" s="18" t="s">
        <v>88</v>
      </c>
      <c r="T80" s="105">
        <f>COUNTIF($R$21:$R$60,"Riesgo alto")</f>
        <v>20</v>
      </c>
      <c r="U80" s="108">
        <f>COUNTIF($R$21:$R$60,"Riesgo alto")/COUNTA($R$21:$R$60)</f>
        <v>0.5</v>
      </c>
      <c r="V80" s="79"/>
    </row>
    <row r="81" spans="2:44" s="37" customFormat="1" ht="60" customHeight="1" x14ac:dyDescent="0.25">
      <c r="B81" s="30"/>
      <c r="C81" s="121"/>
      <c r="D81" s="21" t="s">
        <v>27</v>
      </c>
      <c r="E81" s="105">
        <f>COUNTIF($L$21:$L$60,"No, nunca")</f>
        <v>18</v>
      </c>
      <c r="F81" s="104">
        <f>COUNTIF($L$21:$L$60,"No, nunca")/COUNTA($L$21:$L$60)</f>
        <v>0.45</v>
      </c>
      <c r="G81" s="130"/>
      <c r="H81" s="121"/>
      <c r="I81" s="21" t="s">
        <v>86</v>
      </c>
      <c r="J81" s="107">
        <f>COUNTIF($Q$21:$Q$60,"Fallo en algo al detectar")</f>
        <v>27</v>
      </c>
      <c r="K81" s="108">
        <f>COUNTIF($Q$21:$Q$60,"Fallo en algo al detectar")/COUNTA($Q$21:$Q$60)</f>
        <v>0.67500000000000004</v>
      </c>
      <c r="L81" s="78"/>
      <c r="M81" s="128"/>
      <c r="N81" s="21" t="s">
        <v>91</v>
      </c>
      <c r="O81" s="110">
        <f>COUNTIF($S$21:$S$60,"Puede que no sea vulnerable")</f>
        <v>31</v>
      </c>
      <c r="P81" s="108">
        <f>COUNTIF($S$21:$S$63,"Puede que no sea vulnerable")/COUNTA($S$21:$S$60)</f>
        <v>0.77500000000000002</v>
      </c>
      <c r="Q81" s="78"/>
      <c r="R81" s="121"/>
      <c r="S81" s="18" t="s">
        <v>89</v>
      </c>
      <c r="T81" s="105">
        <f>COUNTIF($R$21:$R$60,"Riesgo bajo")</f>
        <v>20</v>
      </c>
      <c r="U81" s="108">
        <f>COUNTIF($R$21:$R$60,"Riesgo bajo")/COUNTA($R$21:$R$60)</f>
        <v>0.5</v>
      </c>
      <c r="V81" s="79"/>
    </row>
    <row r="82" spans="2:44" s="37" customFormat="1" ht="60" customHeight="1" x14ac:dyDescent="0.25">
      <c r="B82" s="30"/>
      <c r="C82" s="121"/>
      <c r="D82" s="21" t="s">
        <v>33</v>
      </c>
      <c r="E82" s="105">
        <f>COUNTIF($L$21:$L$60,"No lo sé / No lo recuerdo")</f>
        <v>6</v>
      </c>
      <c r="F82" s="104">
        <f>COUNTIF($L$21:$L$60,"No lo sé / No lo recuerdo")/COUNTA($L$21:$L$60)</f>
        <v>0.15</v>
      </c>
      <c r="G82" s="130"/>
      <c r="H82" s="121"/>
      <c r="I82" s="71" t="s">
        <v>43</v>
      </c>
      <c r="J82" s="125">
        <f>SUM(J80:J81)</f>
        <v>40</v>
      </c>
      <c r="K82" s="126"/>
      <c r="L82" s="78"/>
      <c r="M82" s="129"/>
      <c r="N82" s="72" t="s">
        <v>43</v>
      </c>
      <c r="O82" s="123">
        <f>SUM(O80:O81)</f>
        <v>40</v>
      </c>
      <c r="P82" s="124"/>
      <c r="Q82" s="78"/>
      <c r="R82" s="121"/>
      <c r="S82" s="72" t="s">
        <v>43</v>
      </c>
      <c r="T82" s="123">
        <f>SUM(T80:T81)</f>
        <v>40</v>
      </c>
      <c r="U82" s="124"/>
      <c r="V82" s="79"/>
    </row>
    <row r="83" spans="2:44" s="37" customFormat="1" ht="60" customHeight="1" x14ac:dyDescent="0.25">
      <c r="B83" s="30"/>
      <c r="C83" s="121"/>
      <c r="D83" s="28" t="s">
        <v>16</v>
      </c>
      <c r="E83" s="105">
        <f>COUNTIF($L$21:$L$60,"Sí, una vez")</f>
        <v>12</v>
      </c>
      <c r="F83" s="104">
        <f>COUNTIF($L$21:$L$60,"Sí, una vez")/COUNTA($L$21:$L$60)</f>
        <v>0.3</v>
      </c>
      <c r="G83" s="20"/>
      <c r="H83" s="20"/>
      <c r="I83" s="27"/>
      <c r="J83" s="20"/>
      <c r="K83" s="27"/>
      <c r="L83" s="20"/>
      <c r="M83" s="20"/>
      <c r="N83" s="20"/>
      <c r="O83" s="20"/>
      <c r="P83" s="20"/>
      <c r="Q83" s="20"/>
    </row>
    <row r="84" spans="2:44" s="37" customFormat="1" ht="60" customHeight="1" x14ac:dyDescent="0.25">
      <c r="B84" s="30"/>
      <c r="C84" s="121"/>
      <c r="D84" s="72" t="s">
        <v>43</v>
      </c>
      <c r="E84" s="123">
        <f>SUM(E80:E83)</f>
        <v>40</v>
      </c>
      <c r="F84" s="124"/>
      <c r="I84" s="48"/>
      <c r="K84" s="49"/>
    </row>
    <row r="85" spans="2:44" s="37" customFormat="1" ht="18" x14ac:dyDescent="0.25">
      <c r="B85" s="30"/>
      <c r="I85" s="48"/>
      <c r="K85" s="49"/>
    </row>
    <row r="86" spans="2:44" s="37" customFormat="1" ht="18" x14ac:dyDescent="0.25">
      <c r="B86" s="30"/>
      <c r="I86" s="48"/>
      <c r="K86" s="49"/>
    </row>
    <row r="87" spans="2:44" s="37" customFormat="1" ht="18" x14ac:dyDescent="0.25">
      <c r="B87" s="30"/>
      <c r="I87" s="48"/>
      <c r="K87" s="49"/>
    </row>
    <row r="88" spans="2:44" s="37" customFormat="1" ht="63.75" customHeight="1" x14ac:dyDescent="1.05">
      <c r="B88" s="138" t="s">
        <v>99</v>
      </c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</row>
    <row r="89" spans="2:44" s="37" customFormat="1" ht="18" x14ac:dyDescent="0.25">
      <c r="B89" s="30"/>
      <c r="I89" s="48"/>
      <c r="K89" s="49"/>
    </row>
    <row r="90" spans="2:44" s="37" customFormat="1" ht="10.5" customHeight="1" x14ac:dyDescent="0.25">
      <c r="B90" s="30"/>
      <c r="I90" s="48"/>
      <c r="K90" s="49"/>
    </row>
    <row r="91" spans="2:44" s="37" customFormat="1" ht="58.5" customHeight="1" x14ac:dyDescent="0.25">
      <c r="B91" s="30"/>
      <c r="I91" s="48"/>
      <c r="K91" s="49"/>
    </row>
    <row r="92" spans="2:44" s="37" customFormat="1" ht="99.95" customHeight="1" x14ac:dyDescent="0.25">
      <c r="B92" s="50" t="s">
        <v>54</v>
      </c>
      <c r="C92" s="51" t="s">
        <v>41</v>
      </c>
      <c r="D92" s="50" t="s">
        <v>40</v>
      </c>
      <c r="E92" s="50" t="s">
        <v>1</v>
      </c>
      <c r="F92" s="50" t="s">
        <v>2</v>
      </c>
      <c r="G92" s="50" t="s">
        <v>3</v>
      </c>
      <c r="H92" s="50" t="s">
        <v>4</v>
      </c>
      <c r="I92" s="50" t="s">
        <v>5</v>
      </c>
      <c r="J92" s="52" t="s">
        <v>6</v>
      </c>
      <c r="K92" s="50" t="s">
        <v>42</v>
      </c>
      <c r="L92" s="50" t="s">
        <v>7</v>
      </c>
      <c r="M92" s="50" t="s">
        <v>58</v>
      </c>
      <c r="N92" s="50" t="s">
        <v>55</v>
      </c>
      <c r="O92" s="50" t="s">
        <v>56</v>
      </c>
      <c r="P92" s="52" t="s">
        <v>57</v>
      </c>
      <c r="Q92" s="21" t="s">
        <v>59</v>
      </c>
      <c r="R92" s="21" t="s">
        <v>60</v>
      </c>
      <c r="S92" s="21" t="s">
        <v>63</v>
      </c>
    </row>
    <row r="93" spans="2:44" s="37" customFormat="1" ht="60" customHeight="1" x14ac:dyDescent="1.05">
      <c r="B93" s="31">
        <v>64</v>
      </c>
      <c r="C93" s="38">
        <v>31</v>
      </c>
      <c r="D93" s="38" t="s">
        <v>23</v>
      </c>
      <c r="E93" s="38" t="s">
        <v>24</v>
      </c>
      <c r="F93" s="38" t="s">
        <v>10</v>
      </c>
      <c r="G93" s="38" t="s">
        <v>11</v>
      </c>
      <c r="H93" s="38" t="s">
        <v>12</v>
      </c>
      <c r="I93" s="38" t="s">
        <v>13</v>
      </c>
      <c r="J93" s="38" t="s">
        <v>14</v>
      </c>
      <c r="K93" s="53" t="s">
        <v>26</v>
      </c>
      <c r="L93" s="38" t="s">
        <v>16</v>
      </c>
      <c r="M93" s="38" t="s">
        <v>17</v>
      </c>
      <c r="N93" s="38" t="s">
        <v>18</v>
      </c>
      <c r="O93" s="38" t="s">
        <v>17</v>
      </c>
      <c r="P93" s="39" t="s">
        <v>18</v>
      </c>
      <c r="Q93" s="34" t="str">
        <f t="shared" ref="Q93:Q109" si="6">IF((M93="Verdadera")*(N93="Falsa")*(O93="Verdadera")*(P93="Falsa"),"Logro detectar todas las noticias","Fallo en algo al detectar")</f>
        <v>Logro detectar todas las noticias</v>
      </c>
      <c r="R93" s="41" t="str">
        <f>IF(OR(G93="Mucho",F93="A veces",AND(I93="No",L93="Sí, una vez",OR(E93="Frecuentemente"))), "Riesgo alto", "Riesgo bajo")</f>
        <v>Riesgo alto</v>
      </c>
      <c r="S93" s="41" t="str">
        <f t="shared" ref="S93:S109" si="7">IF(AND(E93="Frecuentemente",OR(G93="Mucho",J93="No, creo que es algo que no se pude evitar",Q93="Fallo en algo al detectar")),"Posiblemente sea vulnerable","Puede que no sea vulnerable")</f>
        <v>Puede que no sea vulnerable</v>
      </c>
      <c r="AA93" s="136" t="s">
        <v>100</v>
      </c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</row>
    <row r="94" spans="2:44" s="37" customFormat="1" ht="60" customHeight="1" x14ac:dyDescent="0.25">
      <c r="B94" s="31">
        <v>65</v>
      </c>
      <c r="C94" s="45">
        <v>32</v>
      </c>
      <c r="D94" s="45" t="s">
        <v>34</v>
      </c>
      <c r="E94" s="45" t="s">
        <v>10</v>
      </c>
      <c r="F94" s="45" t="s">
        <v>20</v>
      </c>
      <c r="G94" s="45" t="s">
        <v>11</v>
      </c>
      <c r="H94" s="45" t="s">
        <v>12</v>
      </c>
      <c r="I94" s="45" t="s">
        <v>13</v>
      </c>
      <c r="J94" s="45" t="s">
        <v>30</v>
      </c>
      <c r="K94" s="54" t="s">
        <v>26</v>
      </c>
      <c r="L94" s="45" t="s">
        <v>37</v>
      </c>
      <c r="M94" s="45" t="s">
        <v>17</v>
      </c>
      <c r="N94" s="45" t="s">
        <v>18</v>
      </c>
      <c r="O94" s="45" t="s">
        <v>18</v>
      </c>
      <c r="P94" s="46" t="s">
        <v>17</v>
      </c>
      <c r="Q94" s="44" t="str">
        <f t="shared" si="6"/>
        <v>Fallo en algo al detectar</v>
      </c>
      <c r="R94" s="41" t="str">
        <f t="shared" ref="R94:R109" si="8">IF(OR(G94="Mucho",F94="A veces",AND(I94="No",L94="Sí, una vez",OR(E94="Frecuentemente"))), "Riesgo alto", "Riesgo bajo")</f>
        <v>Riesgo bajo</v>
      </c>
      <c r="S94" s="41" t="str">
        <f t="shared" si="7"/>
        <v>Puede que no sea vulnerable</v>
      </c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</row>
    <row r="95" spans="2:44" s="37" customFormat="1" ht="60" customHeight="1" x14ac:dyDescent="0.25">
      <c r="B95" s="31">
        <v>66</v>
      </c>
      <c r="C95" s="38">
        <v>34</v>
      </c>
      <c r="D95" s="38" t="s">
        <v>31</v>
      </c>
      <c r="E95" s="38" t="s">
        <v>9</v>
      </c>
      <c r="F95" s="38" t="s">
        <v>20</v>
      </c>
      <c r="G95" s="38" t="s">
        <v>11</v>
      </c>
      <c r="H95" s="38" t="s">
        <v>35</v>
      </c>
      <c r="I95" s="38" t="s">
        <v>13</v>
      </c>
      <c r="J95" s="38" t="s">
        <v>30</v>
      </c>
      <c r="K95" s="53" t="s">
        <v>22</v>
      </c>
      <c r="L95" s="38" t="s">
        <v>37</v>
      </c>
      <c r="M95" s="38" t="s">
        <v>17</v>
      </c>
      <c r="N95" s="38" t="s">
        <v>18</v>
      </c>
      <c r="O95" s="38" t="s">
        <v>17</v>
      </c>
      <c r="P95" s="39" t="s">
        <v>18</v>
      </c>
      <c r="Q95" s="34" t="str">
        <f t="shared" si="6"/>
        <v>Logro detectar todas las noticias</v>
      </c>
      <c r="R95" s="41" t="str">
        <f t="shared" si="8"/>
        <v>Riesgo bajo</v>
      </c>
      <c r="S95" s="41" t="str">
        <f t="shared" si="7"/>
        <v>Puede que no sea vulnerable</v>
      </c>
      <c r="T95" s="55"/>
      <c r="U95" s="55"/>
      <c r="V95" s="55"/>
      <c r="W95" s="55"/>
      <c r="X95" s="55"/>
      <c r="Y95" s="48"/>
      <c r="AA95" s="50" t="s">
        <v>54</v>
      </c>
      <c r="AB95" s="51" t="s">
        <v>41</v>
      </c>
      <c r="AC95" s="50" t="s">
        <v>40</v>
      </c>
      <c r="AD95" s="50" t="s">
        <v>1</v>
      </c>
      <c r="AE95" s="50" t="s">
        <v>2</v>
      </c>
      <c r="AF95" s="50" t="s">
        <v>3</v>
      </c>
      <c r="AG95" s="50" t="s">
        <v>4</v>
      </c>
      <c r="AH95" s="50" t="s">
        <v>5</v>
      </c>
      <c r="AI95" s="52" t="s">
        <v>6</v>
      </c>
      <c r="AJ95" s="50" t="s">
        <v>42</v>
      </c>
      <c r="AK95" s="50" t="s">
        <v>7</v>
      </c>
      <c r="AL95" s="50" t="s">
        <v>58</v>
      </c>
      <c r="AM95" s="50" t="s">
        <v>55</v>
      </c>
      <c r="AN95" s="50" t="s">
        <v>56</v>
      </c>
      <c r="AO95" s="52" t="s">
        <v>57</v>
      </c>
      <c r="AP95" s="21" t="s">
        <v>59</v>
      </c>
      <c r="AQ95" s="50" t="s">
        <v>60</v>
      </c>
      <c r="AR95" s="21" t="s">
        <v>62</v>
      </c>
    </row>
    <row r="96" spans="2:44" s="37" customFormat="1" ht="60" customHeight="1" x14ac:dyDescent="0.25">
      <c r="B96" s="31">
        <v>67</v>
      </c>
      <c r="C96" s="45">
        <v>35</v>
      </c>
      <c r="D96" s="45" t="s">
        <v>31</v>
      </c>
      <c r="E96" s="45" t="s">
        <v>9</v>
      </c>
      <c r="F96" s="45" t="s">
        <v>20</v>
      </c>
      <c r="G96" s="45" t="s">
        <v>11</v>
      </c>
      <c r="H96" s="45" t="s">
        <v>12</v>
      </c>
      <c r="I96" s="45" t="s">
        <v>13</v>
      </c>
      <c r="J96" s="45" t="s">
        <v>30</v>
      </c>
      <c r="K96" s="54" t="s">
        <v>22</v>
      </c>
      <c r="L96" s="45" t="s">
        <v>16</v>
      </c>
      <c r="M96" s="45" t="s">
        <v>17</v>
      </c>
      <c r="N96" s="45" t="s">
        <v>18</v>
      </c>
      <c r="O96" s="45" t="s">
        <v>17</v>
      </c>
      <c r="P96" s="46" t="s">
        <v>18</v>
      </c>
      <c r="Q96" s="44" t="str">
        <f t="shared" si="6"/>
        <v>Logro detectar todas las noticias</v>
      </c>
      <c r="R96" s="41" t="str">
        <f t="shared" si="8"/>
        <v>Riesgo bajo</v>
      </c>
      <c r="S96" s="41" t="str">
        <f t="shared" si="7"/>
        <v>Puede que no sea vulnerable</v>
      </c>
      <c r="T96" s="56"/>
      <c r="U96" s="56"/>
      <c r="V96" s="56"/>
      <c r="W96" s="56"/>
      <c r="X96" s="56"/>
      <c r="AA96" s="38">
        <v>81</v>
      </c>
      <c r="AB96" s="38">
        <v>56</v>
      </c>
      <c r="AC96" s="38" t="s">
        <v>34</v>
      </c>
      <c r="AD96" s="38" t="s">
        <v>24</v>
      </c>
      <c r="AE96" s="38" t="s">
        <v>20</v>
      </c>
      <c r="AF96" s="38" t="s">
        <v>28</v>
      </c>
      <c r="AG96" s="38" t="s">
        <v>29</v>
      </c>
      <c r="AH96" s="38" t="s">
        <v>13</v>
      </c>
      <c r="AI96" s="53" t="s">
        <v>30</v>
      </c>
      <c r="AJ96" s="53" t="s">
        <v>15</v>
      </c>
      <c r="AK96" s="38" t="s">
        <v>27</v>
      </c>
      <c r="AL96" s="38" t="s">
        <v>18</v>
      </c>
      <c r="AM96" s="38" t="s">
        <v>18</v>
      </c>
      <c r="AN96" s="38" t="s">
        <v>18</v>
      </c>
      <c r="AO96" s="57" t="s">
        <v>18</v>
      </c>
      <c r="AP96" s="34" t="str">
        <f t="shared" ref="AP96:AP107" si="9">IF((AL96="Verdadera")*(AM96="Falsa")*(AN96="Verdadera")*(AO96="Falsa"),"Logro detectar todas las noticias","Fallo en algo al detectar")</f>
        <v>Fallo en algo al detectar</v>
      </c>
      <c r="AQ96" s="41" t="str">
        <f>IF(OR(AF96="Mucho",AE96="A veces",AND(AH96="No",AK96="Sí, una vez",AD96="Frecuentemente")), "Riesgo alto", "Riesgo bajo")</f>
        <v>Riesgo bajo</v>
      </c>
      <c r="AR96" s="41" t="str">
        <f t="shared" ref="AR96:AR107" si="10">IF(AND(AD96="Frecuentemente",OR(AF96="Mucho",AI96="No, creo que es algo que no se pude evitar", AP96="Fallo en algo al detectar")),"Posiblemente sea vulnerable","Puede que no sea vulnerable")</f>
        <v>Puede que no sea vulnerable</v>
      </c>
    </row>
    <row r="97" spans="2:44" s="37" customFormat="1" ht="60" customHeight="1" x14ac:dyDescent="0.25">
      <c r="B97" s="31">
        <v>68</v>
      </c>
      <c r="C97" s="38">
        <v>35</v>
      </c>
      <c r="D97" s="38" t="s">
        <v>39</v>
      </c>
      <c r="E97" s="38" t="s">
        <v>36</v>
      </c>
      <c r="F97" s="38" t="s">
        <v>10</v>
      </c>
      <c r="G97" s="38" t="s">
        <v>11</v>
      </c>
      <c r="H97" s="38" t="s">
        <v>12</v>
      </c>
      <c r="I97" s="38" t="s">
        <v>13</v>
      </c>
      <c r="J97" s="38" t="s">
        <v>30</v>
      </c>
      <c r="K97" s="53" t="s">
        <v>22</v>
      </c>
      <c r="L97" s="38" t="s">
        <v>16</v>
      </c>
      <c r="M97" s="38" t="s">
        <v>18</v>
      </c>
      <c r="N97" s="38" t="s">
        <v>18</v>
      </c>
      <c r="O97" s="38" t="s">
        <v>17</v>
      </c>
      <c r="P97" s="39" t="s">
        <v>17</v>
      </c>
      <c r="Q97" s="44" t="str">
        <f t="shared" si="6"/>
        <v>Fallo en algo al detectar</v>
      </c>
      <c r="R97" s="41" t="str">
        <f t="shared" si="8"/>
        <v>Riesgo alto</v>
      </c>
      <c r="S97" s="41" t="str">
        <f t="shared" si="7"/>
        <v>Puede que no sea vulnerable</v>
      </c>
      <c r="T97" s="56"/>
      <c r="U97" s="56"/>
      <c r="V97" s="56"/>
      <c r="W97" s="56"/>
      <c r="X97" s="56"/>
      <c r="AA97" s="45">
        <v>82</v>
      </c>
      <c r="AB97" s="45">
        <v>56</v>
      </c>
      <c r="AC97" s="45" t="s">
        <v>19</v>
      </c>
      <c r="AD97" s="45" t="s">
        <v>10</v>
      </c>
      <c r="AE97" s="45" t="s">
        <v>20</v>
      </c>
      <c r="AF97" s="45" t="s">
        <v>32</v>
      </c>
      <c r="AG97" s="45" t="s">
        <v>29</v>
      </c>
      <c r="AH97" s="45" t="s">
        <v>13</v>
      </c>
      <c r="AI97" s="54" t="s">
        <v>30</v>
      </c>
      <c r="AJ97" s="54" t="s">
        <v>22</v>
      </c>
      <c r="AK97" s="45" t="s">
        <v>33</v>
      </c>
      <c r="AL97" s="45" t="s">
        <v>17</v>
      </c>
      <c r="AM97" s="45" t="s">
        <v>18</v>
      </c>
      <c r="AN97" s="45" t="s">
        <v>17</v>
      </c>
      <c r="AO97" s="58" t="s">
        <v>18</v>
      </c>
      <c r="AP97" s="44" t="str">
        <f t="shared" si="9"/>
        <v>Logro detectar todas las noticias</v>
      </c>
      <c r="AQ97" s="41" t="str">
        <f t="shared" ref="AQ97:AQ107" si="11">IF(OR(AF97="Mucho",AE97="A veces",AND(AH97="No",AK97="Sí, una vez",AD97="Frecuentemente")), "Riesgo alto", "Riesgo bajo")</f>
        <v>Riesgo alto</v>
      </c>
      <c r="AR97" s="41" t="str">
        <f t="shared" si="10"/>
        <v>Puede que no sea vulnerable</v>
      </c>
    </row>
    <row r="98" spans="2:44" s="37" customFormat="1" ht="60" customHeight="1" x14ac:dyDescent="0.25">
      <c r="B98" s="31">
        <v>69</v>
      </c>
      <c r="C98" s="45">
        <v>37</v>
      </c>
      <c r="D98" s="45" t="s">
        <v>34</v>
      </c>
      <c r="E98" s="45" t="s">
        <v>9</v>
      </c>
      <c r="F98" s="45" t="s">
        <v>20</v>
      </c>
      <c r="G98" s="45" t="s">
        <v>11</v>
      </c>
      <c r="H98" s="45" t="s">
        <v>35</v>
      </c>
      <c r="I98" s="45" t="s">
        <v>25</v>
      </c>
      <c r="J98" s="45" t="s">
        <v>21</v>
      </c>
      <c r="K98" s="54" t="s">
        <v>26</v>
      </c>
      <c r="L98" s="45" t="s">
        <v>27</v>
      </c>
      <c r="M98" s="45" t="s">
        <v>18</v>
      </c>
      <c r="N98" s="45" t="s">
        <v>18</v>
      </c>
      <c r="O98" s="45" t="s">
        <v>17</v>
      </c>
      <c r="P98" s="46" t="s">
        <v>18</v>
      </c>
      <c r="Q98" s="44" t="str">
        <f t="shared" si="6"/>
        <v>Fallo en algo al detectar</v>
      </c>
      <c r="R98" s="41" t="str">
        <f t="shared" si="8"/>
        <v>Riesgo bajo</v>
      </c>
      <c r="S98" s="41" t="str">
        <f t="shared" si="7"/>
        <v>Posiblemente sea vulnerable</v>
      </c>
      <c r="T98" s="56"/>
      <c r="U98" s="56"/>
      <c r="V98" s="56"/>
      <c r="W98" s="56"/>
      <c r="X98" s="56"/>
      <c r="AA98" s="38">
        <v>83</v>
      </c>
      <c r="AB98" s="38">
        <v>57</v>
      </c>
      <c r="AC98" s="38" t="s">
        <v>34</v>
      </c>
      <c r="AD98" s="38" t="s">
        <v>10</v>
      </c>
      <c r="AE98" s="38" t="s">
        <v>20</v>
      </c>
      <c r="AF98" s="38" t="s">
        <v>11</v>
      </c>
      <c r="AG98" s="38" t="s">
        <v>29</v>
      </c>
      <c r="AH98" s="38" t="s">
        <v>13</v>
      </c>
      <c r="AI98" s="53" t="s">
        <v>30</v>
      </c>
      <c r="AJ98" s="53" t="s">
        <v>15</v>
      </c>
      <c r="AK98" s="38" t="s">
        <v>27</v>
      </c>
      <c r="AL98" s="38" t="s">
        <v>17</v>
      </c>
      <c r="AM98" s="38" t="s">
        <v>18</v>
      </c>
      <c r="AN98" s="38" t="s">
        <v>18</v>
      </c>
      <c r="AO98" s="57" t="s">
        <v>18</v>
      </c>
      <c r="AP98" s="34" t="str">
        <f t="shared" si="9"/>
        <v>Fallo en algo al detectar</v>
      </c>
      <c r="AQ98" s="41" t="str">
        <f t="shared" si="11"/>
        <v>Riesgo bajo</v>
      </c>
      <c r="AR98" s="41" t="str">
        <f t="shared" si="10"/>
        <v>Puede que no sea vulnerable</v>
      </c>
    </row>
    <row r="99" spans="2:44" s="37" customFormat="1" ht="60" customHeight="1" x14ac:dyDescent="0.25">
      <c r="B99" s="31">
        <v>70</v>
      </c>
      <c r="C99" s="38">
        <v>40</v>
      </c>
      <c r="D99" s="38" t="s">
        <v>31</v>
      </c>
      <c r="E99" s="38" t="s">
        <v>10</v>
      </c>
      <c r="F99" s="38" t="s">
        <v>20</v>
      </c>
      <c r="G99" s="38" t="s">
        <v>11</v>
      </c>
      <c r="H99" s="38" t="s">
        <v>29</v>
      </c>
      <c r="I99" s="38" t="s">
        <v>13</v>
      </c>
      <c r="J99" s="38" t="s">
        <v>30</v>
      </c>
      <c r="K99" s="53" t="s">
        <v>15</v>
      </c>
      <c r="L99" s="38" t="s">
        <v>33</v>
      </c>
      <c r="M99" s="38" t="s">
        <v>18</v>
      </c>
      <c r="N99" s="38" t="s">
        <v>18</v>
      </c>
      <c r="O99" s="38" t="s">
        <v>18</v>
      </c>
      <c r="P99" s="39" t="s">
        <v>18</v>
      </c>
      <c r="Q99" s="44" t="str">
        <f t="shared" si="6"/>
        <v>Fallo en algo al detectar</v>
      </c>
      <c r="R99" s="41" t="str">
        <f t="shared" si="8"/>
        <v>Riesgo bajo</v>
      </c>
      <c r="S99" s="41" t="str">
        <f t="shared" si="7"/>
        <v>Puede que no sea vulnerable</v>
      </c>
      <c r="T99" s="56"/>
      <c r="U99" s="56"/>
      <c r="V99" s="56"/>
      <c r="W99" s="56"/>
      <c r="X99" s="56"/>
      <c r="AA99" s="45">
        <v>84</v>
      </c>
      <c r="AB99" s="45">
        <v>58</v>
      </c>
      <c r="AC99" s="45" t="s">
        <v>39</v>
      </c>
      <c r="AD99" s="45" t="s">
        <v>10</v>
      </c>
      <c r="AE99" s="45" t="s">
        <v>20</v>
      </c>
      <c r="AF99" s="45" t="s">
        <v>11</v>
      </c>
      <c r="AG99" s="45" t="s">
        <v>12</v>
      </c>
      <c r="AH99" s="45" t="s">
        <v>13</v>
      </c>
      <c r="AI99" s="54" t="s">
        <v>30</v>
      </c>
      <c r="AJ99" s="54" t="s">
        <v>15</v>
      </c>
      <c r="AK99" s="45" t="s">
        <v>27</v>
      </c>
      <c r="AL99" s="45" t="s">
        <v>18</v>
      </c>
      <c r="AM99" s="45" t="s">
        <v>18</v>
      </c>
      <c r="AN99" s="45" t="s">
        <v>18</v>
      </c>
      <c r="AO99" s="58" t="s">
        <v>18</v>
      </c>
      <c r="AP99" s="44" t="str">
        <f t="shared" si="9"/>
        <v>Fallo en algo al detectar</v>
      </c>
      <c r="AQ99" s="41" t="str">
        <f t="shared" si="11"/>
        <v>Riesgo bajo</v>
      </c>
      <c r="AR99" s="41" t="str">
        <f t="shared" si="10"/>
        <v>Puede que no sea vulnerable</v>
      </c>
    </row>
    <row r="100" spans="2:44" s="37" customFormat="1" ht="60" customHeight="1" x14ac:dyDescent="0.25">
      <c r="B100" s="31">
        <v>71</v>
      </c>
      <c r="C100" s="45">
        <v>41</v>
      </c>
      <c r="D100" s="45" t="s">
        <v>34</v>
      </c>
      <c r="E100" s="45" t="s">
        <v>9</v>
      </c>
      <c r="F100" s="45" t="s">
        <v>10</v>
      </c>
      <c r="G100" s="45" t="s">
        <v>11</v>
      </c>
      <c r="H100" s="45" t="s">
        <v>12</v>
      </c>
      <c r="I100" s="45" t="s">
        <v>13</v>
      </c>
      <c r="J100" s="45" t="s">
        <v>30</v>
      </c>
      <c r="K100" s="54" t="s">
        <v>26</v>
      </c>
      <c r="L100" s="45" t="s">
        <v>27</v>
      </c>
      <c r="M100" s="45" t="s">
        <v>18</v>
      </c>
      <c r="N100" s="45" t="s">
        <v>18</v>
      </c>
      <c r="O100" s="45" t="s">
        <v>17</v>
      </c>
      <c r="P100" s="46" t="s">
        <v>18</v>
      </c>
      <c r="Q100" s="44" t="str">
        <f t="shared" si="6"/>
        <v>Fallo en algo al detectar</v>
      </c>
      <c r="R100" s="41" t="str">
        <f t="shared" si="8"/>
        <v>Riesgo alto</v>
      </c>
      <c r="S100" s="41" t="str">
        <f t="shared" si="7"/>
        <v>Posiblemente sea vulnerable</v>
      </c>
      <c r="T100" s="56"/>
      <c r="U100" s="56"/>
      <c r="V100" s="56"/>
      <c r="W100" s="56"/>
      <c r="X100" s="56"/>
      <c r="AA100" s="38">
        <v>85</v>
      </c>
      <c r="AB100" s="38">
        <v>58</v>
      </c>
      <c r="AC100" s="38" t="s">
        <v>19</v>
      </c>
      <c r="AD100" s="38" t="s">
        <v>9</v>
      </c>
      <c r="AE100" s="38" t="s">
        <v>10</v>
      </c>
      <c r="AF100" s="38" t="s">
        <v>11</v>
      </c>
      <c r="AG100" s="38" t="s">
        <v>12</v>
      </c>
      <c r="AH100" s="38" t="s">
        <v>13</v>
      </c>
      <c r="AI100" s="53" t="s">
        <v>21</v>
      </c>
      <c r="AJ100" s="53" t="s">
        <v>15</v>
      </c>
      <c r="AK100" s="38" t="s">
        <v>33</v>
      </c>
      <c r="AL100" s="38" t="s">
        <v>17</v>
      </c>
      <c r="AM100" s="38" t="s">
        <v>18</v>
      </c>
      <c r="AN100" s="38" t="s">
        <v>17</v>
      </c>
      <c r="AO100" s="57" t="s">
        <v>18</v>
      </c>
      <c r="AP100" s="44" t="str">
        <f t="shared" si="9"/>
        <v>Logro detectar todas las noticias</v>
      </c>
      <c r="AQ100" s="41" t="str">
        <f t="shared" si="11"/>
        <v>Riesgo alto</v>
      </c>
      <c r="AR100" s="41" t="str">
        <f t="shared" si="10"/>
        <v>Puede que no sea vulnerable</v>
      </c>
    </row>
    <row r="101" spans="2:44" s="37" customFormat="1" ht="60" customHeight="1" x14ac:dyDescent="0.25">
      <c r="B101" s="31">
        <v>72</v>
      </c>
      <c r="C101" s="38">
        <v>41</v>
      </c>
      <c r="D101" s="38" t="s">
        <v>34</v>
      </c>
      <c r="E101" s="38" t="s">
        <v>10</v>
      </c>
      <c r="F101" s="38" t="s">
        <v>20</v>
      </c>
      <c r="G101" s="38" t="s">
        <v>11</v>
      </c>
      <c r="H101" s="38" t="s">
        <v>12</v>
      </c>
      <c r="I101" s="38" t="s">
        <v>13</v>
      </c>
      <c r="J101" s="38" t="s">
        <v>14</v>
      </c>
      <c r="K101" s="53" t="s">
        <v>26</v>
      </c>
      <c r="L101" s="38" t="s">
        <v>33</v>
      </c>
      <c r="M101" s="38" t="s">
        <v>18</v>
      </c>
      <c r="N101" s="38" t="s">
        <v>18</v>
      </c>
      <c r="O101" s="38" t="s">
        <v>17</v>
      </c>
      <c r="P101" s="39" t="s">
        <v>18</v>
      </c>
      <c r="Q101" s="34" t="str">
        <f t="shared" si="6"/>
        <v>Fallo en algo al detectar</v>
      </c>
      <c r="R101" s="41" t="str">
        <f t="shared" si="8"/>
        <v>Riesgo bajo</v>
      </c>
      <c r="S101" s="41" t="str">
        <f t="shared" si="7"/>
        <v>Puede que no sea vulnerable</v>
      </c>
      <c r="T101" s="56"/>
      <c r="U101" s="56"/>
      <c r="V101" s="56"/>
      <c r="W101" s="56"/>
      <c r="X101" s="56"/>
      <c r="AA101" s="45">
        <v>86</v>
      </c>
      <c r="AB101" s="45">
        <v>60</v>
      </c>
      <c r="AC101" s="45" t="s">
        <v>34</v>
      </c>
      <c r="AD101" s="45" t="s">
        <v>9</v>
      </c>
      <c r="AE101" s="45" t="s">
        <v>20</v>
      </c>
      <c r="AF101" s="45" t="s">
        <v>11</v>
      </c>
      <c r="AG101" s="45" t="s">
        <v>35</v>
      </c>
      <c r="AH101" s="45" t="s">
        <v>13</v>
      </c>
      <c r="AI101" s="54" t="s">
        <v>30</v>
      </c>
      <c r="AJ101" s="54" t="s">
        <v>22</v>
      </c>
      <c r="AK101" s="45" t="s">
        <v>27</v>
      </c>
      <c r="AL101" s="45" t="s">
        <v>17</v>
      </c>
      <c r="AM101" s="45" t="s">
        <v>18</v>
      </c>
      <c r="AN101" s="45" t="s">
        <v>17</v>
      </c>
      <c r="AO101" s="58" t="s">
        <v>18</v>
      </c>
      <c r="AP101" s="44" t="str">
        <f t="shared" si="9"/>
        <v>Logro detectar todas las noticias</v>
      </c>
      <c r="AQ101" s="41" t="str">
        <f t="shared" si="11"/>
        <v>Riesgo bajo</v>
      </c>
      <c r="AR101" s="41" t="str">
        <f t="shared" si="10"/>
        <v>Puede que no sea vulnerable</v>
      </c>
    </row>
    <row r="102" spans="2:44" s="37" customFormat="1" ht="60" customHeight="1" x14ac:dyDescent="0.25">
      <c r="B102" s="31">
        <v>73</v>
      </c>
      <c r="C102" s="45">
        <v>46</v>
      </c>
      <c r="D102" s="45" t="s">
        <v>8</v>
      </c>
      <c r="E102" s="45" t="s">
        <v>10</v>
      </c>
      <c r="F102" s="45" t="s">
        <v>10</v>
      </c>
      <c r="G102" s="45" t="s">
        <v>32</v>
      </c>
      <c r="H102" s="45" t="s">
        <v>29</v>
      </c>
      <c r="I102" s="45" t="s">
        <v>13</v>
      </c>
      <c r="J102" s="45" t="s">
        <v>30</v>
      </c>
      <c r="K102" s="54" t="s">
        <v>22</v>
      </c>
      <c r="L102" s="45" t="s">
        <v>16</v>
      </c>
      <c r="M102" s="45" t="s">
        <v>17</v>
      </c>
      <c r="N102" s="45" t="s">
        <v>18</v>
      </c>
      <c r="O102" s="45" t="s">
        <v>18</v>
      </c>
      <c r="P102" s="46" t="s">
        <v>18</v>
      </c>
      <c r="Q102" s="44" t="str">
        <f t="shared" si="6"/>
        <v>Fallo en algo al detectar</v>
      </c>
      <c r="R102" s="41" t="str">
        <f t="shared" si="8"/>
        <v>Riesgo alto</v>
      </c>
      <c r="S102" s="41" t="str">
        <f t="shared" si="7"/>
        <v>Puede que no sea vulnerable</v>
      </c>
      <c r="T102" s="56"/>
      <c r="U102" s="56"/>
      <c r="V102" s="56"/>
      <c r="W102" s="56"/>
      <c r="X102" s="56"/>
      <c r="AA102" s="38">
        <v>87</v>
      </c>
      <c r="AB102" s="38">
        <v>60</v>
      </c>
      <c r="AC102" s="38" t="s">
        <v>34</v>
      </c>
      <c r="AD102" s="38" t="s">
        <v>10</v>
      </c>
      <c r="AE102" s="38" t="s">
        <v>10</v>
      </c>
      <c r="AF102" s="38" t="s">
        <v>11</v>
      </c>
      <c r="AG102" s="38" t="s">
        <v>12</v>
      </c>
      <c r="AH102" s="38" t="s">
        <v>13</v>
      </c>
      <c r="AI102" s="53" t="s">
        <v>21</v>
      </c>
      <c r="AJ102" s="53" t="s">
        <v>15</v>
      </c>
      <c r="AK102" s="38" t="s">
        <v>33</v>
      </c>
      <c r="AL102" s="38" t="s">
        <v>18</v>
      </c>
      <c r="AM102" s="38" t="s">
        <v>18</v>
      </c>
      <c r="AN102" s="38" t="s">
        <v>17</v>
      </c>
      <c r="AO102" s="57" t="s">
        <v>18</v>
      </c>
      <c r="AP102" s="34" t="str">
        <f t="shared" si="9"/>
        <v>Fallo en algo al detectar</v>
      </c>
      <c r="AQ102" s="41" t="str">
        <f t="shared" si="11"/>
        <v>Riesgo alto</v>
      </c>
      <c r="AR102" s="41" t="str">
        <f t="shared" si="10"/>
        <v>Puede que no sea vulnerable</v>
      </c>
    </row>
    <row r="103" spans="2:44" s="37" customFormat="1" ht="60" customHeight="1" x14ac:dyDescent="0.25">
      <c r="B103" s="31">
        <v>74</v>
      </c>
      <c r="C103" s="38">
        <v>48</v>
      </c>
      <c r="D103" s="38" t="s">
        <v>34</v>
      </c>
      <c r="E103" s="38" t="s">
        <v>10</v>
      </c>
      <c r="F103" s="38" t="s">
        <v>20</v>
      </c>
      <c r="G103" s="38" t="s">
        <v>11</v>
      </c>
      <c r="H103" s="38" t="s">
        <v>29</v>
      </c>
      <c r="I103" s="38" t="s">
        <v>13</v>
      </c>
      <c r="J103" s="38" t="s">
        <v>30</v>
      </c>
      <c r="K103" s="53" t="s">
        <v>15</v>
      </c>
      <c r="L103" s="38" t="s">
        <v>33</v>
      </c>
      <c r="M103" s="38" t="s">
        <v>18</v>
      </c>
      <c r="N103" s="38" t="s">
        <v>18</v>
      </c>
      <c r="O103" s="38" t="s">
        <v>18</v>
      </c>
      <c r="P103" s="39" t="s">
        <v>18</v>
      </c>
      <c r="Q103" s="34" t="str">
        <f t="shared" si="6"/>
        <v>Fallo en algo al detectar</v>
      </c>
      <c r="R103" s="41" t="str">
        <f t="shared" si="8"/>
        <v>Riesgo bajo</v>
      </c>
      <c r="S103" s="41" t="str">
        <f t="shared" si="7"/>
        <v>Puede que no sea vulnerable</v>
      </c>
      <c r="T103" s="56"/>
      <c r="U103" s="56"/>
      <c r="V103" s="56"/>
      <c r="W103" s="56"/>
      <c r="X103" s="56"/>
      <c r="AA103" s="45">
        <v>88</v>
      </c>
      <c r="AB103" s="45">
        <v>65</v>
      </c>
      <c r="AC103" s="45" t="s">
        <v>39</v>
      </c>
      <c r="AD103" s="45" t="s">
        <v>10</v>
      </c>
      <c r="AE103" s="45" t="s">
        <v>20</v>
      </c>
      <c r="AF103" s="45" t="s">
        <v>11</v>
      </c>
      <c r="AG103" s="45" t="s">
        <v>29</v>
      </c>
      <c r="AH103" s="45" t="s">
        <v>13</v>
      </c>
      <c r="AI103" s="54" t="s">
        <v>30</v>
      </c>
      <c r="AJ103" s="54" t="s">
        <v>15</v>
      </c>
      <c r="AK103" s="45" t="s">
        <v>27</v>
      </c>
      <c r="AL103" s="45" t="s">
        <v>17</v>
      </c>
      <c r="AM103" s="45" t="s">
        <v>18</v>
      </c>
      <c r="AN103" s="45" t="s">
        <v>17</v>
      </c>
      <c r="AO103" s="58" t="s">
        <v>18</v>
      </c>
      <c r="AP103" s="44" t="str">
        <f t="shared" si="9"/>
        <v>Logro detectar todas las noticias</v>
      </c>
      <c r="AQ103" s="41" t="str">
        <f t="shared" si="11"/>
        <v>Riesgo bajo</v>
      </c>
      <c r="AR103" s="41" t="str">
        <f t="shared" si="10"/>
        <v>Puede que no sea vulnerable</v>
      </c>
    </row>
    <row r="104" spans="2:44" s="37" customFormat="1" ht="60" customHeight="1" x14ac:dyDescent="0.25">
      <c r="B104" s="31">
        <v>75</v>
      </c>
      <c r="C104" s="45">
        <v>50</v>
      </c>
      <c r="D104" s="45" t="s">
        <v>8</v>
      </c>
      <c r="E104" s="45" t="s">
        <v>10</v>
      </c>
      <c r="F104" s="45" t="s">
        <v>20</v>
      </c>
      <c r="G104" s="45" t="s">
        <v>11</v>
      </c>
      <c r="H104" s="45" t="s">
        <v>12</v>
      </c>
      <c r="I104" s="45" t="s">
        <v>13</v>
      </c>
      <c r="J104" s="45" t="s">
        <v>30</v>
      </c>
      <c r="K104" s="54" t="s">
        <v>15</v>
      </c>
      <c r="L104" s="45" t="s">
        <v>27</v>
      </c>
      <c r="M104" s="45" t="s">
        <v>18</v>
      </c>
      <c r="N104" s="45" t="s">
        <v>18</v>
      </c>
      <c r="O104" s="45" t="s">
        <v>18</v>
      </c>
      <c r="P104" s="46" t="s">
        <v>18</v>
      </c>
      <c r="Q104" s="34" t="str">
        <f t="shared" si="6"/>
        <v>Fallo en algo al detectar</v>
      </c>
      <c r="R104" s="41" t="str">
        <f t="shared" si="8"/>
        <v>Riesgo bajo</v>
      </c>
      <c r="S104" s="41" t="str">
        <f t="shared" si="7"/>
        <v>Puede que no sea vulnerable</v>
      </c>
      <c r="T104" s="56"/>
      <c r="U104" s="56"/>
      <c r="V104" s="56"/>
      <c r="W104" s="56"/>
      <c r="X104" s="56"/>
      <c r="AA104" s="38">
        <v>89</v>
      </c>
      <c r="AB104" s="38">
        <v>67</v>
      </c>
      <c r="AC104" s="38" t="s">
        <v>31</v>
      </c>
      <c r="AD104" s="38" t="s">
        <v>9</v>
      </c>
      <c r="AE104" s="38" t="s">
        <v>20</v>
      </c>
      <c r="AF104" s="38" t="s">
        <v>32</v>
      </c>
      <c r="AG104" s="38" t="s">
        <v>12</v>
      </c>
      <c r="AH104" s="38" t="s">
        <v>25</v>
      </c>
      <c r="AI104" s="53" t="s">
        <v>21</v>
      </c>
      <c r="AJ104" s="53" t="s">
        <v>26</v>
      </c>
      <c r="AK104" s="38" t="s">
        <v>37</v>
      </c>
      <c r="AL104" s="38" t="s">
        <v>17</v>
      </c>
      <c r="AM104" s="38" t="s">
        <v>17</v>
      </c>
      <c r="AN104" s="38" t="s">
        <v>17</v>
      </c>
      <c r="AO104" s="57" t="s">
        <v>17</v>
      </c>
      <c r="AP104" s="34" t="str">
        <f t="shared" si="9"/>
        <v>Fallo en algo al detectar</v>
      </c>
      <c r="AQ104" s="41" t="str">
        <f t="shared" si="11"/>
        <v>Riesgo alto</v>
      </c>
      <c r="AR104" s="41" t="str">
        <f t="shared" si="10"/>
        <v>Posiblemente sea vulnerable</v>
      </c>
    </row>
    <row r="105" spans="2:44" s="37" customFormat="1" ht="60" customHeight="1" x14ac:dyDescent="0.25">
      <c r="B105" s="31">
        <v>76</v>
      </c>
      <c r="C105" s="38">
        <v>51</v>
      </c>
      <c r="D105" s="38" t="s">
        <v>34</v>
      </c>
      <c r="E105" s="38" t="s">
        <v>10</v>
      </c>
      <c r="F105" s="38" t="s">
        <v>20</v>
      </c>
      <c r="G105" s="38" t="s">
        <v>11</v>
      </c>
      <c r="H105" s="38" t="s">
        <v>35</v>
      </c>
      <c r="I105" s="38" t="s">
        <v>13</v>
      </c>
      <c r="J105" s="38" t="s">
        <v>30</v>
      </c>
      <c r="K105" s="53" t="s">
        <v>22</v>
      </c>
      <c r="L105" s="38" t="s">
        <v>16</v>
      </c>
      <c r="M105" s="38" t="s">
        <v>17</v>
      </c>
      <c r="N105" s="38" t="s">
        <v>18</v>
      </c>
      <c r="O105" s="38" t="s">
        <v>17</v>
      </c>
      <c r="P105" s="39" t="s">
        <v>18</v>
      </c>
      <c r="Q105" s="34" t="str">
        <f t="shared" si="6"/>
        <v>Logro detectar todas las noticias</v>
      </c>
      <c r="R105" s="41" t="str">
        <f t="shared" si="8"/>
        <v>Riesgo bajo</v>
      </c>
      <c r="S105" s="41" t="str">
        <f t="shared" si="7"/>
        <v>Puede que no sea vulnerable</v>
      </c>
      <c r="T105" s="56"/>
      <c r="U105" s="56"/>
      <c r="V105" s="56"/>
      <c r="W105" s="56"/>
      <c r="X105" s="56"/>
      <c r="AA105" s="45">
        <v>90</v>
      </c>
      <c r="AB105" s="45">
        <v>68</v>
      </c>
      <c r="AC105" s="45" t="s">
        <v>34</v>
      </c>
      <c r="AD105" s="45" t="s">
        <v>9</v>
      </c>
      <c r="AE105" s="45" t="s">
        <v>20</v>
      </c>
      <c r="AF105" s="45" t="s">
        <v>32</v>
      </c>
      <c r="AG105" s="45" t="s">
        <v>29</v>
      </c>
      <c r="AH105" s="45" t="s">
        <v>13</v>
      </c>
      <c r="AI105" s="54" t="s">
        <v>30</v>
      </c>
      <c r="AJ105" s="54" t="s">
        <v>15</v>
      </c>
      <c r="AK105" s="45" t="s">
        <v>16</v>
      </c>
      <c r="AL105" s="45" t="s">
        <v>17</v>
      </c>
      <c r="AM105" s="45" t="s">
        <v>18</v>
      </c>
      <c r="AN105" s="45" t="s">
        <v>18</v>
      </c>
      <c r="AO105" s="58" t="s">
        <v>17</v>
      </c>
      <c r="AP105" s="44" t="str">
        <f t="shared" si="9"/>
        <v>Fallo en algo al detectar</v>
      </c>
      <c r="AQ105" s="41" t="str">
        <f t="shared" si="11"/>
        <v>Riesgo alto</v>
      </c>
      <c r="AR105" s="41" t="str">
        <f t="shared" si="10"/>
        <v>Posiblemente sea vulnerable</v>
      </c>
    </row>
    <row r="106" spans="2:44" s="37" customFormat="1" ht="60" customHeight="1" x14ac:dyDescent="0.25">
      <c r="B106" s="31">
        <v>77</v>
      </c>
      <c r="C106" s="45">
        <v>51</v>
      </c>
      <c r="D106" s="45" t="s">
        <v>34</v>
      </c>
      <c r="E106" s="45" t="s">
        <v>24</v>
      </c>
      <c r="F106" s="45" t="s">
        <v>10</v>
      </c>
      <c r="G106" s="45" t="s">
        <v>11</v>
      </c>
      <c r="H106" s="45" t="s">
        <v>12</v>
      </c>
      <c r="I106" s="45" t="s">
        <v>13</v>
      </c>
      <c r="J106" s="45" t="s">
        <v>14</v>
      </c>
      <c r="K106" s="54" t="s">
        <v>26</v>
      </c>
      <c r="L106" s="45" t="s">
        <v>33</v>
      </c>
      <c r="M106" s="45" t="s">
        <v>18</v>
      </c>
      <c r="N106" s="45" t="s">
        <v>18</v>
      </c>
      <c r="O106" s="45" t="s">
        <v>18</v>
      </c>
      <c r="P106" s="46" t="s">
        <v>18</v>
      </c>
      <c r="Q106" s="44" t="str">
        <f t="shared" si="6"/>
        <v>Fallo en algo al detectar</v>
      </c>
      <c r="R106" s="41" t="str">
        <f t="shared" si="8"/>
        <v>Riesgo alto</v>
      </c>
      <c r="S106" s="41" t="str">
        <f t="shared" si="7"/>
        <v>Puede que no sea vulnerable</v>
      </c>
      <c r="T106" s="56"/>
      <c r="U106" s="56"/>
      <c r="V106" s="56"/>
      <c r="W106" s="56"/>
      <c r="X106" s="56"/>
      <c r="AA106" s="38">
        <v>91</v>
      </c>
      <c r="AB106" s="38">
        <v>69</v>
      </c>
      <c r="AC106" s="38" t="s">
        <v>34</v>
      </c>
      <c r="AD106" s="38" t="s">
        <v>9</v>
      </c>
      <c r="AE106" s="38" t="s">
        <v>36</v>
      </c>
      <c r="AF106" s="38" t="s">
        <v>32</v>
      </c>
      <c r="AG106" s="38" t="s">
        <v>12</v>
      </c>
      <c r="AH106" s="38" t="s">
        <v>13</v>
      </c>
      <c r="AI106" s="53" t="s">
        <v>30</v>
      </c>
      <c r="AJ106" s="53" t="s">
        <v>26</v>
      </c>
      <c r="AK106" s="38" t="s">
        <v>16</v>
      </c>
      <c r="AL106" s="38" t="s">
        <v>17</v>
      </c>
      <c r="AM106" s="38" t="s">
        <v>18</v>
      </c>
      <c r="AN106" s="38" t="s">
        <v>17</v>
      </c>
      <c r="AO106" s="57" t="s">
        <v>18</v>
      </c>
      <c r="AP106" s="44" t="str">
        <f t="shared" si="9"/>
        <v>Logro detectar todas las noticias</v>
      </c>
      <c r="AQ106" s="41" t="str">
        <f t="shared" si="11"/>
        <v>Riesgo alto</v>
      </c>
      <c r="AR106" s="41" t="str">
        <f t="shared" si="10"/>
        <v>Posiblemente sea vulnerable</v>
      </c>
    </row>
    <row r="107" spans="2:44" s="37" customFormat="1" ht="60" customHeight="1" x14ac:dyDescent="0.25">
      <c r="B107" s="31">
        <v>78</v>
      </c>
      <c r="C107" s="38">
        <v>53</v>
      </c>
      <c r="D107" s="38" t="s">
        <v>34</v>
      </c>
      <c r="E107" s="38" t="s">
        <v>10</v>
      </c>
      <c r="F107" s="38" t="s">
        <v>20</v>
      </c>
      <c r="G107" s="38" t="s">
        <v>11</v>
      </c>
      <c r="H107" s="38" t="s">
        <v>12</v>
      </c>
      <c r="I107" s="38" t="s">
        <v>13</v>
      </c>
      <c r="J107" s="38" t="s">
        <v>30</v>
      </c>
      <c r="K107" s="53" t="s">
        <v>22</v>
      </c>
      <c r="L107" s="38" t="s">
        <v>16</v>
      </c>
      <c r="M107" s="38" t="s">
        <v>17</v>
      </c>
      <c r="N107" s="38" t="s">
        <v>18</v>
      </c>
      <c r="O107" s="38" t="s">
        <v>18</v>
      </c>
      <c r="P107" s="39" t="s">
        <v>18</v>
      </c>
      <c r="Q107" s="44" t="str">
        <f>IF((M107="Verdadera")*(N107="Falsa")*(O107="Verdadera")*(P107="Falsa"),"Logro detectar todas las noticias","Fallo en algo al detectar")</f>
        <v>Fallo en algo al detectar</v>
      </c>
      <c r="R107" s="41" t="str">
        <f t="shared" si="8"/>
        <v>Riesgo bajo</v>
      </c>
      <c r="S107" s="41" t="str">
        <f t="shared" si="7"/>
        <v>Puede que no sea vulnerable</v>
      </c>
      <c r="T107" s="56"/>
      <c r="U107" s="56"/>
      <c r="V107" s="56"/>
      <c r="W107" s="56"/>
      <c r="X107" s="56"/>
      <c r="AA107" s="59">
        <v>92</v>
      </c>
      <c r="AB107" s="60">
        <v>77</v>
      </c>
      <c r="AC107" s="60" t="s">
        <v>34</v>
      </c>
      <c r="AD107" s="60" t="s">
        <v>10</v>
      </c>
      <c r="AE107" s="60" t="s">
        <v>36</v>
      </c>
      <c r="AF107" s="60" t="s">
        <v>11</v>
      </c>
      <c r="AG107" s="60" t="s">
        <v>35</v>
      </c>
      <c r="AH107" s="60" t="s">
        <v>25</v>
      </c>
      <c r="AI107" s="61" t="s">
        <v>14</v>
      </c>
      <c r="AJ107" s="61" t="s">
        <v>15</v>
      </c>
      <c r="AK107" s="60" t="s">
        <v>27</v>
      </c>
      <c r="AL107" s="60" t="s">
        <v>18</v>
      </c>
      <c r="AM107" s="60" t="s">
        <v>17</v>
      </c>
      <c r="AN107" s="60" t="s">
        <v>18</v>
      </c>
      <c r="AO107" s="62" t="s">
        <v>17</v>
      </c>
      <c r="AP107" s="44" t="str">
        <f t="shared" si="9"/>
        <v>Fallo en algo al detectar</v>
      </c>
      <c r="AQ107" s="41" t="str">
        <f t="shared" si="11"/>
        <v>Riesgo bajo</v>
      </c>
      <c r="AR107" s="41" t="str">
        <f t="shared" si="10"/>
        <v>Puede que no sea vulnerable</v>
      </c>
    </row>
    <row r="108" spans="2:44" s="37" customFormat="1" ht="60" customHeight="1" x14ac:dyDescent="0.25">
      <c r="B108" s="31">
        <v>79</v>
      </c>
      <c r="C108" s="45">
        <v>54</v>
      </c>
      <c r="D108" s="45" t="s">
        <v>23</v>
      </c>
      <c r="E108" s="45" t="s">
        <v>9</v>
      </c>
      <c r="F108" s="45" t="s">
        <v>10</v>
      </c>
      <c r="G108" s="45" t="s">
        <v>11</v>
      </c>
      <c r="H108" s="45" t="s">
        <v>12</v>
      </c>
      <c r="I108" s="45" t="s">
        <v>13</v>
      </c>
      <c r="J108" s="45" t="s">
        <v>30</v>
      </c>
      <c r="K108" s="54" t="s">
        <v>22</v>
      </c>
      <c r="L108" s="45" t="s">
        <v>37</v>
      </c>
      <c r="M108" s="45" t="s">
        <v>18</v>
      </c>
      <c r="N108" s="45" t="s">
        <v>18</v>
      </c>
      <c r="O108" s="45" t="s">
        <v>17</v>
      </c>
      <c r="P108" s="46" t="s">
        <v>17</v>
      </c>
      <c r="Q108" s="44" t="str">
        <f t="shared" si="6"/>
        <v>Fallo en algo al detectar</v>
      </c>
      <c r="R108" s="41" t="str">
        <f t="shared" si="8"/>
        <v>Riesgo alto</v>
      </c>
      <c r="S108" s="41" t="str">
        <f t="shared" si="7"/>
        <v>Posiblemente sea vulnerable</v>
      </c>
      <c r="T108" s="56"/>
      <c r="U108" s="56"/>
      <c r="V108" s="56"/>
      <c r="W108" s="56"/>
      <c r="X108" s="56"/>
    </row>
    <row r="109" spans="2:44" s="37" customFormat="1" ht="60" customHeight="1" x14ac:dyDescent="0.25">
      <c r="B109" s="31">
        <v>80</v>
      </c>
      <c r="C109" s="103">
        <v>55</v>
      </c>
      <c r="D109" s="53" t="s">
        <v>38</v>
      </c>
      <c r="E109" s="53" t="s">
        <v>9</v>
      </c>
      <c r="F109" s="53" t="s">
        <v>10</v>
      </c>
      <c r="G109" s="53" t="s">
        <v>11</v>
      </c>
      <c r="H109" s="53" t="s">
        <v>29</v>
      </c>
      <c r="I109" s="53" t="s">
        <v>13</v>
      </c>
      <c r="J109" s="38" t="s">
        <v>30</v>
      </c>
      <c r="K109" s="54" t="s">
        <v>15</v>
      </c>
      <c r="L109" s="63" t="s">
        <v>27</v>
      </c>
      <c r="M109" s="45" t="s">
        <v>17</v>
      </c>
      <c r="N109" s="45" t="s">
        <v>18</v>
      </c>
      <c r="O109" s="45" t="s">
        <v>17</v>
      </c>
      <c r="P109" s="58" t="s">
        <v>18</v>
      </c>
      <c r="Q109" s="44" t="str">
        <f t="shared" si="6"/>
        <v>Logro detectar todas las noticias</v>
      </c>
      <c r="R109" s="41" t="str">
        <f t="shared" si="8"/>
        <v>Riesgo alto</v>
      </c>
      <c r="S109" s="41" t="str">
        <f t="shared" si="7"/>
        <v>Puede que no sea vulnerable</v>
      </c>
      <c r="T109" s="56"/>
      <c r="U109" s="56"/>
      <c r="V109" s="56"/>
      <c r="W109" s="56"/>
      <c r="X109" s="56"/>
    </row>
    <row r="110" spans="2:44" s="37" customFormat="1" ht="60" customHeight="1" x14ac:dyDescent="0.25">
      <c r="B110" s="30"/>
      <c r="C110" s="48"/>
      <c r="I110" s="48"/>
      <c r="K110" s="49"/>
      <c r="T110" s="56"/>
      <c r="U110" s="56"/>
      <c r="V110" s="56"/>
      <c r="W110" s="56"/>
      <c r="X110" s="56"/>
      <c r="AC110" s="122" t="s">
        <v>40</v>
      </c>
      <c r="AD110" s="22" t="s">
        <v>34</v>
      </c>
      <c r="AE110" s="105">
        <f>COUNTIF($AC$96:$AC$107,"Facebook")</f>
        <v>7</v>
      </c>
      <c r="AF110" s="104">
        <f>COUNTIF($AC$96:$AC$107,"Facebook")/COUNTA($AC$96:$AC$107)</f>
        <v>0.58333333333333337</v>
      </c>
      <c r="AG110" s="79"/>
      <c r="AH110" s="122" t="s">
        <v>1</v>
      </c>
      <c r="AI110" s="21" t="s">
        <v>69</v>
      </c>
      <c r="AJ110" s="107">
        <f>COUNTIF($AD$96:$AD$107, "Frecuentemente")</f>
        <v>5</v>
      </c>
      <c r="AK110" s="108">
        <f>COUNTIF($AD$96:$AD$107, "Frecuentemente")/COUNTA($AD$96:$AD$107)</f>
        <v>0.41666666666666669</v>
      </c>
      <c r="AL110" s="78"/>
      <c r="AM110" s="121" t="s">
        <v>2</v>
      </c>
      <c r="AN110" s="22" t="s">
        <v>72</v>
      </c>
      <c r="AO110" s="105">
        <f>COUNTIF($AE$96:$AE$107,"Siempre")</f>
        <v>8</v>
      </c>
      <c r="AP110" s="109">
        <f>COUNTIF($AE$96:$AE$107,"Siempre")/COUNTA($AE$96:$AE$107)</f>
        <v>0.66666666666666663</v>
      </c>
      <c r="AQ110" s="78"/>
    </row>
    <row r="111" spans="2:44" s="37" customFormat="1" ht="60" customHeight="1" x14ac:dyDescent="0.25">
      <c r="B111" s="30"/>
      <c r="C111" s="122" t="s">
        <v>40</v>
      </c>
      <c r="D111" s="18" t="s">
        <v>34</v>
      </c>
      <c r="E111" s="105">
        <f>COUNTIF($D$93:$D$109,"Facebook")</f>
        <v>8</v>
      </c>
      <c r="F111" s="104">
        <f>COUNTIF($D$93:$D$109,"Facebook")/COUNTA($D$93:$D$109)</f>
        <v>0.47058823529411764</v>
      </c>
      <c r="G111" s="79"/>
      <c r="H111" s="122" t="s">
        <v>1</v>
      </c>
      <c r="I111" s="21" t="s">
        <v>69</v>
      </c>
      <c r="J111" s="107">
        <f>COUNTIF($E$93:$E$109, "Frecuentemente")</f>
        <v>6</v>
      </c>
      <c r="K111" s="108">
        <f>COUNTIF($E$93:$E$109, "Frecuentemente")/COUNTA($E$93:$E$109)</f>
        <v>0.35294117647058826</v>
      </c>
      <c r="L111" s="78"/>
      <c r="M111" s="127" t="s">
        <v>2</v>
      </c>
      <c r="N111" s="22" t="s">
        <v>72</v>
      </c>
      <c r="O111" s="105">
        <f>COUNTIF($F$93:$F$109,"Siempre")</f>
        <v>10</v>
      </c>
      <c r="P111" s="109">
        <f>COUNTIF($F$93:$F$109,"Siempre")/COUNTA($F$93:$F$109)</f>
        <v>0.58823529411764708</v>
      </c>
      <c r="Q111" s="78"/>
      <c r="T111" s="56"/>
      <c r="U111" s="56"/>
      <c r="V111" s="56"/>
      <c r="W111" s="56"/>
      <c r="X111" s="56"/>
      <c r="AC111" s="122"/>
      <c r="AD111" s="22" t="s">
        <v>66</v>
      </c>
      <c r="AE111" s="105">
        <f>COUNTIF($AC$96:$AC$107,"Instagram")</f>
        <v>0</v>
      </c>
      <c r="AF111" s="104">
        <f>COUNTIF($AC$96:$AC$107,"Instagram")/COUNTA($AC$96:$AC$107)</f>
        <v>0</v>
      </c>
      <c r="AG111" s="79"/>
      <c r="AH111" s="122"/>
      <c r="AI111" s="18" t="s">
        <v>71</v>
      </c>
      <c r="AJ111" s="107">
        <f>COUNTIF($AD$96:$AD$107,"Rara vez")</f>
        <v>1</v>
      </c>
      <c r="AK111" s="108">
        <f>COUNTIF($AD$96:$AD$107, "Rara vez")/COUNTA($AD$96:$AD$107)</f>
        <v>8.3333333333333329E-2</v>
      </c>
      <c r="AL111" s="78"/>
      <c r="AM111" s="121"/>
      <c r="AN111" s="22" t="s">
        <v>73</v>
      </c>
      <c r="AO111" s="105">
        <f>COUNTIF($AE$96:$AE$107,"A veces")</f>
        <v>2</v>
      </c>
      <c r="AP111" s="109">
        <f>COUNTIF($AE$96:$AE$107,"A veces")/COUNTA($AE$96:$AE$107)</f>
        <v>0.16666666666666666</v>
      </c>
      <c r="AQ111" s="78"/>
    </row>
    <row r="112" spans="2:44" s="37" customFormat="1" ht="60" customHeight="1" x14ac:dyDescent="0.25">
      <c r="B112" s="30"/>
      <c r="C112" s="122"/>
      <c r="D112" s="18" t="s">
        <v>66</v>
      </c>
      <c r="E112" s="105">
        <f>COUNTIF($D$93:$D$109,"Instagram")</f>
        <v>2</v>
      </c>
      <c r="F112" s="104">
        <f>COUNTIF($D$93:$D$109,"Instagram")/COUNTA($D$93:$D$109)</f>
        <v>0.11764705882352941</v>
      </c>
      <c r="G112" s="79"/>
      <c r="H112" s="122"/>
      <c r="I112" s="18" t="s">
        <v>71</v>
      </c>
      <c r="J112" s="107">
        <f>COUNTIF($E$93:$E$109,"Rara vez")</f>
        <v>2</v>
      </c>
      <c r="K112" s="108">
        <f>COUNTIF($E$93:$E$109,"Rara vez")/COUNTA($E$93:$E$109)</f>
        <v>0.11764705882352941</v>
      </c>
      <c r="L112" s="78"/>
      <c r="M112" s="128"/>
      <c r="N112" s="22" t="s">
        <v>73</v>
      </c>
      <c r="O112" s="105">
        <f>COUNTIF($F$93:$F$109,"A veces")</f>
        <v>7</v>
      </c>
      <c r="P112" s="109">
        <f>COUNTIF($F$93:$F$109,"A veces")/COUNTA($F$93:$F$109)</f>
        <v>0.41176470588235292</v>
      </c>
      <c r="Q112" s="78"/>
      <c r="T112" s="56"/>
      <c r="U112" s="56"/>
      <c r="V112" s="56"/>
      <c r="W112" s="56"/>
      <c r="X112" s="56"/>
      <c r="AC112" s="122"/>
      <c r="AD112" s="22" t="s">
        <v>67</v>
      </c>
      <c r="AE112" s="105">
        <f>COUNTIF($AC$96:$AC$107,"X (ex Twitter)")</f>
        <v>1</v>
      </c>
      <c r="AF112" s="104">
        <f>COUNTIF($AC$96:$AC$107,"X (ex Twitter)")/COUNTA($AC$96:$AC$107)</f>
        <v>8.3333333333333329E-2</v>
      </c>
      <c r="AG112" s="79"/>
      <c r="AH112" s="122"/>
      <c r="AI112" s="18" t="s">
        <v>70</v>
      </c>
      <c r="AJ112" s="107">
        <f>COUNTIF($AD$96:$AD$107,"A veces")</f>
        <v>6</v>
      </c>
      <c r="AK112" s="108">
        <f>COUNTIF($AD$96:$AD$107, "A veces")/COUNTA($AD$96:$AD$107)</f>
        <v>0.5</v>
      </c>
      <c r="AL112" s="78"/>
      <c r="AM112" s="121"/>
      <c r="AN112" s="22" t="s">
        <v>74</v>
      </c>
      <c r="AO112" s="105">
        <f>COUNTIF($AE$96:$AE$107, "Nunca")</f>
        <v>2</v>
      </c>
      <c r="AP112" s="109">
        <f>COUNTIF($AE$96:$AE$107,"Nunca")/COUNTA($AE$96:$AE$107)</f>
        <v>0.16666666666666666</v>
      </c>
      <c r="AQ112" s="78"/>
    </row>
    <row r="113" spans="2:43" s="37" customFormat="1" ht="60" customHeight="1" x14ac:dyDescent="0.25">
      <c r="B113" s="30"/>
      <c r="C113" s="122"/>
      <c r="D113" s="18" t="s">
        <v>67</v>
      </c>
      <c r="E113" s="105">
        <f>COUNTIF($D$93:$D$109,"X (ex Twitter)")</f>
        <v>3</v>
      </c>
      <c r="F113" s="104">
        <f>COUNTIF($D$93:$D$109,"X (ex Twitter)")/COUNTA($D$93:$D$109)</f>
        <v>0.17647058823529413</v>
      </c>
      <c r="G113" s="79"/>
      <c r="H113" s="122"/>
      <c r="I113" s="18" t="s">
        <v>70</v>
      </c>
      <c r="J113" s="107">
        <f>COUNTIF($E$93:E109,"A veces")</f>
        <v>8</v>
      </c>
      <c r="K113" s="108">
        <f>COUNTIF($E$93:$E$109,"A veces")/COUNTA($E$93:$E$109)</f>
        <v>0.47058823529411764</v>
      </c>
      <c r="L113" s="78"/>
      <c r="M113" s="128"/>
      <c r="N113" s="22" t="s">
        <v>74</v>
      </c>
      <c r="O113" s="105">
        <f>COUNTIF($F$93:$F$109, "Nunca")</f>
        <v>0</v>
      </c>
      <c r="P113" s="109">
        <f>COUNTIF($F$93:$F$109,"Nunca")/COUNTA($F$93:$F$109)</f>
        <v>0</v>
      </c>
      <c r="Q113" s="78"/>
      <c r="AC113" s="122"/>
      <c r="AD113" s="22" t="s">
        <v>47</v>
      </c>
      <c r="AE113" s="105">
        <f>COUNTIF(AC96:AC107,"Tiktok")</f>
        <v>0</v>
      </c>
      <c r="AF113" s="104">
        <f>COUNTIF($AC$96:$AC$107,"Tiktok")/COUNTA($AC$96:$AC$107)</f>
        <v>0</v>
      </c>
      <c r="AG113" s="79"/>
      <c r="AH113" s="122"/>
      <c r="AI113" s="19" t="s">
        <v>36</v>
      </c>
      <c r="AJ113" s="107">
        <f>COUNTIF($AD$96:$AD$107,"Nunca")</f>
        <v>0</v>
      </c>
      <c r="AK113" s="108">
        <f>COUNTIF($AD$96:$AD$107, "Nunca")/COUNTA($AD$96:$AD$107)</f>
        <v>0</v>
      </c>
      <c r="AL113" s="78"/>
      <c r="AM113" s="121"/>
      <c r="AN113" s="73" t="s">
        <v>43</v>
      </c>
      <c r="AO113" s="80">
        <f>SUM(AO110:AO112)</f>
        <v>12</v>
      </c>
      <c r="AP113" s="73"/>
      <c r="AQ113" s="78"/>
    </row>
    <row r="114" spans="2:43" s="37" customFormat="1" ht="60" customHeight="1" x14ac:dyDescent="0.25">
      <c r="B114" s="30"/>
      <c r="C114" s="122"/>
      <c r="D114" s="18" t="s">
        <v>47</v>
      </c>
      <c r="E114" s="105">
        <f>COUNTIF(D93:$D$109,"Tiktok")</f>
        <v>2</v>
      </c>
      <c r="F114" s="104">
        <f>COUNTIF($D$93:$D$109,"Tiktok")/COUNTA($D$93:$D$109)</f>
        <v>0.11764705882352941</v>
      </c>
      <c r="G114" s="79"/>
      <c r="H114" s="122"/>
      <c r="I114" s="19" t="s">
        <v>36</v>
      </c>
      <c r="J114" s="107">
        <f>COUNTIF($E$93:$E$109,"Nunca")</f>
        <v>1</v>
      </c>
      <c r="K114" s="108">
        <f>COUNTIF($E$93:$E$109,"Nunca")/COUNTA($E$93:$E$109)</f>
        <v>5.8823529411764705E-2</v>
      </c>
      <c r="L114" s="78"/>
      <c r="M114" s="129"/>
      <c r="N114" s="25" t="s">
        <v>43</v>
      </c>
      <c r="O114" s="134">
        <f>SUM(O111:O113)</f>
        <v>17</v>
      </c>
      <c r="P114" s="135"/>
      <c r="Q114" s="78"/>
      <c r="AC114" s="122"/>
      <c r="AD114" s="22" t="s">
        <v>68</v>
      </c>
      <c r="AE114" s="105">
        <f>COUNTIF($AC$96:$AC$107,"Youtube")</f>
        <v>2</v>
      </c>
      <c r="AF114" s="104">
        <f>COUNTIF($AC$96:$AC$107,"Youtube")/COUNTA($AC$96:$AC$107)</f>
        <v>0.16666666666666666</v>
      </c>
      <c r="AG114" s="79"/>
      <c r="AH114" s="122"/>
      <c r="AI114" s="72" t="s">
        <v>43</v>
      </c>
      <c r="AJ114" s="125">
        <f>SUM(AJ110:AJ113)</f>
        <v>12</v>
      </c>
      <c r="AK114" s="126"/>
      <c r="AL114" s="20"/>
      <c r="AM114" s="20"/>
      <c r="AN114" s="20"/>
      <c r="AO114" s="20"/>
      <c r="AP114" s="20"/>
      <c r="AQ114" s="20"/>
    </row>
    <row r="115" spans="2:43" s="37" customFormat="1" ht="60" customHeight="1" x14ac:dyDescent="0.25">
      <c r="B115" s="30"/>
      <c r="C115" s="122"/>
      <c r="D115" s="18" t="s">
        <v>68</v>
      </c>
      <c r="E115" s="105">
        <f>COUNTIF($D$93:D109,"Youtube")</f>
        <v>0</v>
      </c>
      <c r="F115" s="104">
        <f>COUNTIF($D$93:$D$109,"Youtube")/COUNTA($D$93:$D$109)</f>
        <v>0</v>
      </c>
      <c r="G115" s="79"/>
      <c r="H115" s="122"/>
      <c r="I115" s="72" t="s">
        <v>43</v>
      </c>
      <c r="J115" s="125">
        <f>SUM(J111:J114)</f>
        <v>17</v>
      </c>
      <c r="K115" s="126"/>
      <c r="L115" s="20"/>
      <c r="M115" s="20"/>
      <c r="N115" s="20"/>
      <c r="O115" s="20"/>
      <c r="P115" s="20"/>
      <c r="Q115" s="20"/>
      <c r="AC115" s="122"/>
      <c r="AD115" s="76" t="s">
        <v>39</v>
      </c>
      <c r="AE115" s="106">
        <f>COUNTIF($AC$96:$AC$107,"Google")</f>
        <v>2</v>
      </c>
      <c r="AF115" s="104">
        <f>COUNTIF($AC$96:$AC$107,"Google")/COUNTA($AC$96:$AC$107)</f>
        <v>0.16666666666666666</v>
      </c>
      <c r="AG115" s="20"/>
      <c r="AH115" s="20"/>
      <c r="AI115" s="27"/>
      <c r="AJ115" s="20"/>
      <c r="AK115" s="27"/>
      <c r="AL115" s="20"/>
      <c r="AM115" s="20"/>
      <c r="AN115" s="20"/>
      <c r="AO115" s="20"/>
      <c r="AP115" s="20"/>
      <c r="AQ115" s="20"/>
    </row>
    <row r="116" spans="2:43" s="37" customFormat="1" ht="60" customHeight="1" x14ac:dyDescent="0.25">
      <c r="B116" s="30"/>
      <c r="C116" s="122"/>
      <c r="D116" s="24" t="s">
        <v>39</v>
      </c>
      <c r="E116" s="106">
        <f>COUNTIF($D$93:$D$109,"Google")</f>
        <v>1</v>
      </c>
      <c r="F116" s="104">
        <f>E116/COUNTA($D$93:$D$109)</f>
        <v>5.8823529411764705E-2</v>
      </c>
      <c r="G116" s="20"/>
      <c r="H116" s="20"/>
      <c r="I116" s="27"/>
      <c r="J116" s="20"/>
      <c r="K116" s="79"/>
      <c r="L116" s="78"/>
      <c r="M116" s="78"/>
      <c r="N116" s="20"/>
      <c r="O116" s="130"/>
      <c r="P116" s="78"/>
      <c r="Q116" s="78"/>
      <c r="AC116" s="122"/>
      <c r="AD116" s="22" t="s">
        <v>94</v>
      </c>
      <c r="AE116" s="105">
        <f>COUNTIF($AC$96:$AC$107,"Tv")</f>
        <v>0</v>
      </c>
      <c r="AF116" s="104">
        <f>COUNTIF($AC$96:$AC$107,"Tv")/COUNTA($AC$96:$AC$107)</f>
        <v>0</v>
      </c>
      <c r="AG116" s="20"/>
      <c r="AH116" s="20"/>
      <c r="AI116" s="27"/>
      <c r="AJ116" s="20"/>
      <c r="AK116" s="79"/>
      <c r="AL116" s="78"/>
      <c r="AM116" s="78"/>
      <c r="AN116" s="20"/>
      <c r="AO116" s="20"/>
      <c r="AP116" s="20"/>
      <c r="AQ116" s="20"/>
    </row>
    <row r="117" spans="2:43" s="37" customFormat="1" ht="60" customHeight="1" x14ac:dyDescent="0.25">
      <c r="B117" s="30"/>
      <c r="C117" s="122"/>
      <c r="D117" s="18" t="s">
        <v>94</v>
      </c>
      <c r="E117" s="105">
        <f>COUNTIF($D$93:$D109,"Tv")</f>
        <v>1</v>
      </c>
      <c r="F117" s="104">
        <f>COUNTIF($D$93:$D$109,"Tv")/COUNTA($D$93:$D$109)</f>
        <v>5.8823529411764705E-2</v>
      </c>
      <c r="G117" s="20"/>
      <c r="H117" s="20"/>
      <c r="I117" s="27"/>
      <c r="J117" s="20"/>
      <c r="K117" s="79"/>
      <c r="L117" s="78"/>
      <c r="M117" s="78"/>
      <c r="N117" s="20"/>
      <c r="O117" s="130"/>
      <c r="P117" s="78"/>
      <c r="Q117" s="78"/>
      <c r="AC117" s="122"/>
      <c r="AD117" s="72" t="s">
        <v>43</v>
      </c>
      <c r="AE117" s="123">
        <f>SUM(AE110:AE116)</f>
        <v>12</v>
      </c>
      <c r="AF117" s="124"/>
      <c r="AG117" s="20"/>
      <c r="AH117" s="20"/>
      <c r="AI117" s="27"/>
      <c r="AJ117" s="20"/>
      <c r="AK117" s="79"/>
      <c r="AL117" s="78"/>
      <c r="AM117" s="78"/>
      <c r="AN117" s="20"/>
      <c r="AO117" s="20"/>
      <c r="AP117" s="20"/>
      <c r="AQ117" s="20"/>
    </row>
    <row r="118" spans="2:43" s="37" customFormat="1" ht="60" customHeight="1" x14ac:dyDescent="0.25">
      <c r="B118" s="30"/>
      <c r="C118" s="122"/>
      <c r="D118" s="72" t="s">
        <v>43</v>
      </c>
      <c r="E118" s="123">
        <f>SUM(E111:E117)</f>
        <v>17</v>
      </c>
      <c r="F118" s="124"/>
      <c r="G118" s="20"/>
      <c r="H118" s="20"/>
      <c r="I118" s="27"/>
      <c r="J118" s="20"/>
      <c r="K118" s="79"/>
      <c r="L118" s="81"/>
      <c r="M118" s="78"/>
      <c r="N118" s="20"/>
      <c r="O118" s="130"/>
      <c r="P118" s="78"/>
      <c r="Q118" s="78"/>
      <c r="AC118" s="20"/>
      <c r="AD118" s="20"/>
      <c r="AE118" s="20"/>
      <c r="AF118" s="20"/>
      <c r="AG118" s="20"/>
      <c r="AH118" s="20"/>
      <c r="AI118" s="27"/>
      <c r="AJ118" s="20"/>
      <c r="AK118" s="79"/>
      <c r="AL118" s="81"/>
      <c r="AM118" s="78"/>
      <c r="AN118" s="20"/>
      <c r="AO118" s="20"/>
      <c r="AP118" s="20"/>
      <c r="AQ118" s="20"/>
    </row>
    <row r="119" spans="2:43" s="37" customFormat="1" ht="60" customHeight="1" x14ac:dyDescent="0.25">
      <c r="B119" s="30"/>
      <c r="C119" s="20"/>
      <c r="D119" s="20"/>
      <c r="E119" s="20"/>
      <c r="F119" s="20"/>
      <c r="G119" s="20"/>
      <c r="H119" s="20"/>
      <c r="I119" s="27"/>
      <c r="J119" s="20"/>
      <c r="K119" s="79"/>
      <c r="L119" s="81"/>
      <c r="M119" s="78"/>
      <c r="N119" s="20"/>
      <c r="O119" s="130"/>
      <c r="P119" s="78"/>
      <c r="Q119" s="78"/>
      <c r="AC119" s="121" t="s">
        <v>3</v>
      </c>
      <c r="AD119" s="18" t="s">
        <v>75</v>
      </c>
      <c r="AE119" s="105">
        <f>COUNTIF($AF$96:$AF$107,"Poco")</f>
        <v>7</v>
      </c>
      <c r="AF119" s="104">
        <f>COUNTIF($AF$96:$AF$107,"Poco")/COUNTA($AF$96:$AF$107)</f>
        <v>0.58333333333333337</v>
      </c>
      <c r="AG119" s="20"/>
      <c r="AH119" s="127" t="s">
        <v>4</v>
      </c>
      <c r="AI119" s="22" t="s">
        <v>79</v>
      </c>
      <c r="AJ119" s="105">
        <f>COUNTIF($AG$96:$AG$107,"Gente mayor")</f>
        <v>5</v>
      </c>
      <c r="AK119" s="108">
        <f>COUNTIF($AG$96:$AG$107,"Gente mayor")/COUNTA($AG$96:$AG$107)</f>
        <v>0.41666666666666669</v>
      </c>
      <c r="AL119" s="81"/>
      <c r="AM119" s="121" t="s">
        <v>92</v>
      </c>
      <c r="AN119" s="18" t="s">
        <v>82</v>
      </c>
      <c r="AO119" s="107">
        <f>COUNTIF($AH$96:$AH$107,"Si")</f>
        <v>10</v>
      </c>
      <c r="AP119" s="104">
        <f>COUNTIF($AH$96:$AH$107,"Si")/COUNTA($AH$96:$AH$107)</f>
        <v>0.83333333333333337</v>
      </c>
      <c r="AQ119" s="20"/>
    </row>
    <row r="120" spans="2:43" s="37" customFormat="1" ht="60" customHeight="1" x14ac:dyDescent="0.25">
      <c r="B120" s="30"/>
      <c r="C120" s="121" t="s">
        <v>3</v>
      </c>
      <c r="D120" s="18" t="s">
        <v>75</v>
      </c>
      <c r="E120" s="110">
        <f>COUNTIF($G$93:$G$109,"Poco")</f>
        <v>16</v>
      </c>
      <c r="F120" s="104">
        <f>COUNTIF($G$93:$G$109,"Poco")/COUNTA($G$93:$G$109)</f>
        <v>0.94117647058823528</v>
      </c>
      <c r="G120" s="20"/>
      <c r="H120" s="121" t="s">
        <v>4</v>
      </c>
      <c r="I120" s="22" t="s">
        <v>79</v>
      </c>
      <c r="J120" s="105">
        <f>COUNTIF($H$93:$H$109,"Gente mayor")</f>
        <v>10</v>
      </c>
      <c r="K120" s="111">
        <f>COUNTIF($H$93:$H$109,"Gente mayor")/COUNTA($H$93:$H$109)</f>
        <v>0.58823529411764708</v>
      </c>
      <c r="L120" s="20"/>
      <c r="M120" s="121" t="s">
        <v>92</v>
      </c>
      <c r="N120" s="18" t="s">
        <v>82</v>
      </c>
      <c r="O120" s="107">
        <f>COUNTIF($I$93:$I$109,"Si")</f>
        <v>16</v>
      </c>
      <c r="P120" s="104">
        <f>COUNTIF($I$93:$I$109,"Si")/COUNTA($I$93:$I$109)</f>
        <v>0.94117647058823528</v>
      </c>
      <c r="Q120" s="20"/>
      <c r="AC120" s="121"/>
      <c r="AD120" s="18" t="s">
        <v>76</v>
      </c>
      <c r="AE120" s="105">
        <f>COUNTIF($AF$96:$AF$107,"Mucho")</f>
        <v>4</v>
      </c>
      <c r="AF120" s="104">
        <f>COUNTIF($AF$96:$AF$107,"Mucho")/COUNTA($AF$96:$AF$107)</f>
        <v>0.33333333333333331</v>
      </c>
      <c r="AG120" s="79"/>
      <c r="AH120" s="128"/>
      <c r="AI120" s="22" t="s">
        <v>80</v>
      </c>
      <c r="AJ120" s="105">
        <f>COUNTIF($AG$96:$AG$107,"Ambos")</f>
        <v>5</v>
      </c>
      <c r="AK120" s="108">
        <f>COUNTIF($AG$96:$AG$107,"Ambos")/COUNTA($AG$96:$AG$107)</f>
        <v>0.41666666666666669</v>
      </c>
      <c r="AL120" s="79"/>
      <c r="AM120" s="121"/>
      <c r="AN120" s="18" t="s">
        <v>83</v>
      </c>
      <c r="AO120" s="107">
        <f>COUNTIF($AH$96:$AH$107,"No")</f>
        <v>2</v>
      </c>
      <c r="AP120" s="104">
        <f>COUNTIF($AH$96:$AH$107,"No")/COUNTA($AH$96:$AH$107)</f>
        <v>0.16666666666666666</v>
      </c>
      <c r="AQ120" s="78"/>
    </row>
    <row r="121" spans="2:43" s="37" customFormat="1" ht="60" customHeight="1" x14ac:dyDescent="0.25">
      <c r="B121" s="30"/>
      <c r="C121" s="121"/>
      <c r="D121" s="18" t="s">
        <v>76</v>
      </c>
      <c r="E121" s="110">
        <f>COUNTIF($G$93:$G$109,"Mucho")</f>
        <v>1</v>
      </c>
      <c r="F121" s="104">
        <f>COUNTIF($G$93:$G$109,"Mucho")/COUNTA($G$93:$G$109)</f>
        <v>5.8823529411764705E-2</v>
      </c>
      <c r="G121" s="79"/>
      <c r="H121" s="121"/>
      <c r="I121" s="22" t="s">
        <v>80</v>
      </c>
      <c r="J121" s="105">
        <f>COUNTIF(H93:$H$109,"Ambos")</f>
        <v>4</v>
      </c>
      <c r="K121" s="111">
        <f>COUNTIF($H$93:$H$109,"Ambos")/COUNTA($H$93:$H$109)</f>
        <v>0.23529411764705882</v>
      </c>
      <c r="L121" s="79"/>
      <c r="M121" s="121"/>
      <c r="N121" s="18" t="s">
        <v>83</v>
      </c>
      <c r="O121" s="107">
        <f>COUNTIF($I$93:$I$109,"No")</f>
        <v>1</v>
      </c>
      <c r="P121" s="104">
        <f>COUNTIF($I$93:$I$109,"No")/COUNTA($I$93:$I$109)</f>
        <v>5.8823529411764705E-2</v>
      </c>
      <c r="Q121" s="78"/>
      <c r="AC121" s="121"/>
      <c r="AD121" s="23" t="s">
        <v>77</v>
      </c>
      <c r="AE121" s="105">
        <f>COUNTIF($AF$96:$AF$107, "Nada")</f>
        <v>1</v>
      </c>
      <c r="AF121" s="104">
        <f>COUNTIF($AF$96:$AF$107,"Nada")/COUNTA($AF$96:$AF$107)</f>
        <v>8.3333333333333329E-2</v>
      </c>
      <c r="AG121" s="79"/>
      <c r="AH121" s="128"/>
      <c r="AI121" s="22" t="s">
        <v>81</v>
      </c>
      <c r="AJ121" s="105">
        <f>COUNTIF($AG$96:$AL$107,"Ninguno")</f>
        <v>0</v>
      </c>
      <c r="AK121" s="108">
        <f>COUNTIF($AG$96:$AG$107,"Ninguno")/COUNTA($AG$96:$AG$107)</f>
        <v>0</v>
      </c>
      <c r="AL121" s="79"/>
      <c r="AM121" s="121"/>
      <c r="AN121" s="72" t="s">
        <v>43</v>
      </c>
      <c r="AO121" s="125">
        <f>SUM(AO119:AO120)</f>
        <v>12</v>
      </c>
      <c r="AP121" s="126"/>
      <c r="AQ121" s="78"/>
    </row>
    <row r="122" spans="2:43" s="37" customFormat="1" ht="60" customHeight="1" x14ac:dyDescent="0.25">
      <c r="B122" s="30"/>
      <c r="C122" s="121"/>
      <c r="D122" s="23" t="s">
        <v>77</v>
      </c>
      <c r="E122" s="110">
        <f>COUNTIF($G$93:$G$109, "Nada")</f>
        <v>0</v>
      </c>
      <c r="F122" s="104">
        <f>COUNTIF($G$93:$G$109,"Nada")/COUNTA($G$93:$G$109)</f>
        <v>0</v>
      </c>
      <c r="G122" s="79"/>
      <c r="H122" s="121"/>
      <c r="I122" s="22" t="s">
        <v>81</v>
      </c>
      <c r="J122" s="105">
        <f>COUNTIF($H$93:$H$109,"Ninguno")</f>
        <v>0</v>
      </c>
      <c r="K122" s="111">
        <f>COUNTIF($H$93:$H$109,"Ninguno")/COUNTA($H$93:$H$109)</f>
        <v>0</v>
      </c>
      <c r="L122" s="79"/>
      <c r="M122" s="121"/>
      <c r="N122" s="72" t="s">
        <v>43</v>
      </c>
      <c r="O122" s="125">
        <f>SUM(O120:O121)</f>
        <v>17</v>
      </c>
      <c r="P122" s="126"/>
      <c r="Q122" s="78"/>
      <c r="AC122" s="121"/>
      <c r="AD122" s="75" t="s">
        <v>43</v>
      </c>
      <c r="AE122" s="80">
        <f>SUM(AE119:AE121)</f>
        <v>12</v>
      </c>
      <c r="AF122" s="73"/>
      <c r="AG122" s="79"/>
      <c r="AH122" s="128"/>
      <c r="AI122" s="18" t="s">
        <v>95</v>
      </c>
      <c r="AJ122" s="105">
        <f>COUNTIF($AG$96:$AG$107,"Jovenes")</f>
        <v>2</v>
      </c>
      <c r="AK122" s="108">
        <f>COUNTIF($AG$96:$AG$107,"Jovenes")/COUNTA($AG$96:$AG$107)</f>
        <v>0.16666666666666666</v>
      </c>
      <c r="AL122" s="79"/>
      <c r="AM122" s="78"/>
      <c r="AN122" s="78"/>
      <c r="AO122" s="79"/>
      <c r="AP122" s="79"/>
      <c r="AQ122" s="78"/>
    </row>
    <row r="123" spans="2:43" s="37" customFormat="1" ht="60" customHeight="1" x14ac:dyDescent="0.25">
      <c r="B123" s="30"/>
      <c r="C123" s="121"/>
      <c r="D123" s="26" t="s">
        <v>43</v>
      </c>
      <c r="E123" s="134">
        <f>SUM(E120:E122)</f>
        <v>17</v>
      </c>
      <c r="F123" s="135"/>
      <c r="G123" s="79"/>
      <c r="H123" s="121"/>
      <c r="I123" s="22" t="s">
        <v>95</v>
      </c>
      <c r="J123" s="105">
        <f>COUNTIF($H$93:$H$109,"Jovenes")</f>
        <v>3</v>
      </c>
      <c r="K123" s="111">
        <f>COUNTIF($H$93:$H$109,"Jovenes")/COUNTA($H$93:$H$109)</f>
        <v>0.17647058823529413</v>
      </c>
      <c r="L123" s="79"/>
      <c r="M123" s="78"/>
      <c r="N123" s="78"/>
      <c r="O123" s="79"/>
      <c r="P123" s="79"/>
      <c r="Q123" s="78"/>
      <c r="AC123" s="79"/>
      <c r="AD123" s="78"/>
      <c r="AE123" s="78"/>
      <c r="AF123" s="78"/>
      <c r="AG123" s="78"/>
      <c r="AH123" s="129"/>
      <c r="AI123" s="72" t="s">
        <v>43</v>
      </c>
      <c r="AJ123" s="123">
        <f>SUM(AJ119:AJ122)</f>
        <v>12</v>
      </c>
      <c r="AK123" s="124"/>
      <c r="AL123" s="78"/>
      <c r="AM123" s="78"/>
      <c r="AN123" s="78"/>
      <c r="AO123" s="79"/>
      <c r="AP123" s="78"/>
      <c r="AQ123" s="78"/>
    </row>
    <row r="124" spans="2:43" s="37" customFormat="1" ht="60" customHeight="1" x14ac:dyDescent="0.25">
      <c r="B124" s="30"/>
      <c r="C124" s="79"/>
      <c r="D124" s="78"/>
      <c r="E124" s="78"/>
      <c r="F124" s="78"/>
      <c r="G124" s="78"/>
      <c r="H124" s="121"/>
      <c r="I124" s="73" t="s">
        <v>43</v>
      </c>
      <c r="J124" s="123">
        <f>SUM(J120:J123)</f>
        <v>17</v>
      </c>
      <c r="K124" s="124"/>
      <c r="L124" s="78"/>
      <c r="M124" s="78"/>
      <c r="N124" s="78"/>
      <c r="O124" s="79"/>
      <c r="P124" s="78"/>
      <c r="Q124" s="78"/>
      <c r="AC124" s="79"/>
      <c r="AD124" s="78"/>
      <c r="AE124" s="78"/>
      <c r="AF124" s="78"/>
      <c r="AG124" s="78"/>
      <c r="AH124" s="78"/>
      <c r="AI124" s="79"/>
      <c r="AJ124" s="78"/>
      <c r="AK124" s="79"/>
      <c r="AL124" s="78"/>
      <c r="AM124" s="78"/>
      <c r="AN124" s="78"/>
      <c r="AO124" s="78"/>
      <c r="AP124" s="78"/>
      <c r="AQ124" s="78"/>
    </row>
    <row r="125" spans="2:43" s="37" customFormat="1" ht="60" customHeight="1" x14ac:dyDescent="0.25">
      <c r="B125" s="30"/>
      <c r="C125" s="79"/>
      <c r="D125" s="78"/>
      <c r="E125" s="78"/>
      <c r="F125" s="78"/>
      <c r="G125" s="78"/>
      <c r="H125" s="78"/>
      <c r="I125" s="79"/>
      <c r="J125" s="78"/>
      <c r="K125" s="79"/>
      <c r="L125" s="78"/>
      <c r="M125" s="78"/>
      <c r="N125" s="78"/>
      <c r="O125" s="78"/>
      <c r="P125" s="78"/>
      <c r="Q125" s="78"/>
      <c r="AC125" s="121" t="s">
        <v>6</v>
      </c>
      <c r="AD125" s="21" t="s">
        <v>21</v>
      </c>
      <c r="AE125" s="105">
        <f>COUNTIF($AI$96:$AI$107,"No, creo que es algo que no se puede evitar")</f>
        <v>3</v>
      </c>
      <c r="AF125" s="109">
        <f>COUNTIF($AI$96:$AI$107,"No, creo que es algo que no se puede evitar")/COUNTA($AI$96:$AI$107)</f>
        <v>0.25</v>
      </c>
      <c r="AG125" s="78"/>
      <c r="AH125" s="121" t="s">
        <v>42</v>
      </c>
      <c r="AI125" s="21" t="s">
        <v>22</v>
      </c>
      <c r="AJ125" s="105">
        <f>COUNTIF($AJ$96:$ACJ$107,"Saber identificar fuentes confiables")</f>
        <v>2</v>
      </c>
      <c r="AK125" s="108">
        <f>COUNTIF($AJ$96:$AJ$107,"Saber identificar fuentes confiables")/COUNTA($AJ$96:$AJ$107)</f>
        <v>0.16666666666666666</v>
      </c>
      <c r="AL125" s="78"/>
      <c r="AM125" s="121" t="s">
        <v>7</v>
      </c>
      <c r="AN125" s="21" t="s">
        <v>37</v>
      </c>
      <c r="AO125" s="105">
        <f>COUNTIF($AK$96:$AK$107,"Sí, más de una vez")</f>
        <v>1</v>
      </c>
      <c r="AP125" s="109">
        <f>COUNTIF($AK$96:$AK$107,"Sí, más de una vez")/COUNTA($AK$96:$AK$107)</f>
        <v>8.3333333333333329E-2</v>
      </c>
      <c r="AQ125" s="78"/>
    </row>
    <row r="126" spans="2:43" s="37" customFormat="1" ht="60" customHeight="1" x14ac:dyDescent="0.25">
      <c r="B126" s="30"/>
      <c r="C126" s="121" t="s">
        <v>6</v>
      </c>
      <c r="D126" s="21" t="s">
        <v>21</v>
      </c>
      <c r="E126" s="105">
        <f>COUNTIF($J$93:$J$109,"No, creo que es algo que no se puede evitar")</f>
        <v>1</v>
      </c>
      <c r="F126" s="109">
        <f>COUNTIF($J$93:$J$109,"No, creo que es algo que no se puede evitar")/COUNTA($J$93:$J$109)</f>
        <v>5.8823529411764705E-2</v>
      </c>
      <c r="G126" s="78"/>
      <c r="H126" s="121" t="s">
        <v>42</v>
      </c>
      <c r="I126" s="21" t="s">
        <v>22</v>
      </c>
      <c r="J126" s="105">
        <f>COUNTIF($K$93:$K$109,"Saber identificar fuentes confiables")</f>
        <v>7</v>
      </c>
      <c r="K126" s="108">
        <f>COUNTIF($K$93:$K$109,"Saber identificar fuentes confiables")/COUNTA($K$93:$K$109)</f>
        <v>0.41176470588235292</v>
      </c>
      <c r="L126" s="78"/>
      <c r="M126" s="121" t="s">
        <v>7</v>
      </c>
      <c r="N126" s="21" t="s">
        <v>37</v>
      </c>
      <c r="O126" s="105">
        <f>COUNTIF($L$93:$L$109,"Sí, más de una vez")</f>
        <v>3</v>
      </c>
      <c r="P126" s="109">
        <f>COUNTIF($L$93:$L$109,"Sí, más de una vez")/COUNTA($L$93:$L$109)</f>
        <v>0.17647058823529413</v>
      </c>
      <c r="Q126" s="78"/>
      <c r="AC126" s="121"/>
      <c r="AD126" s="21" t="s">
        <v>30</v>
      </c>
      <c r="AE126" s="105">
        <f>COUNTIF($AI$96:$AI$107,"Si, creo que deberían reducirse")</f>
        <v>8</v>
      </c>
      <c r="AF126" s="109">
        <f>COUNTIF($AI$96:$AI$107,"Si, creo que deberían reducirse")/COUNTA($AI$96:$AI$107)</f>
        <v>0.66666666666666663</v>
      </c>
      <c r="AG126" s="78"/>
      <c r="AH126" s="121"/>
      <c r="AI126" s="21" t="s">
        <v>15</v>
      </c>
      <c r="AJ126" s="105">
        <f>COUNTIF($AJ$96:$AJ$107,"Pensamiento crítico")</f>
        <v>8</v>
      </c>
      <c r="AK126" s="108">
        <f>COUNTIF($AJ$96:$AJ$107,"Pensamiento crítico")/COUNTA($AJ$96:$AJ$107)</f>
        <v>0.66666666666666663</v>
      </c>
      <c r="AL126" s="78"/>
      <c r="AM126" s="121"/>
      <c r="AN126" s="21" t="s">
        <v>27</v>
      </c>
      <c r="AO126" s="105">
        <f>COUNTIF($AK$96:$AK$107,"No, nunca")</f>
        <v>6</v>
      </c>
      <c r="AP126" s="109">
        <f>COUNTIF($AK$96:$AK$107,"No, nunca")/COUNTA($AK$96:$AK$107)</f>
        <v>0.5</v>
      </c>
      <c r="AQ126" s="78"/>
    </row>
    <row r="127" spans="2:43" s="37" customFormat="1" ht="60" customHeight="1" x14ac:dyDescent="0.25">
      <c r="B127" s="30"/>
      <c r="C127" s="121"/>
      <c r="D127" s="21" t="s">
        <v>30</v>
      </c>
      <c r="E127" s="105">
        <f>COUNTIF($J$93:$J$109,"Si, creo que deberían reducirse")</f>
        <v>13</v>
      </c>
      <c r="F127" s="109">
        <f>COUNTIF($J$93:$J$109,"Si, creo que deberían reducirse")/COUNTA($J$93:$J$109)</f>
        <v>0.76470588235294112</v>
      </c>
      <c r="G127" s="78"/>
      <c r="H127" s="121"/>
      <c r="I127" s="21" t="s">
        <v>15</v>
      </c>
      <c r="J127" s="105">
        <f>COUNTIF($K$93:$K$109,"Pensamiento crítico")</f>
        <v>4</v>
      </c>
      <c r="K127" s="108">
        <f>COUNTIF($K$93:$K$109,"Pensamiento crítico")/COUNTA($K$93:$K$109)</f>
        <v>0.23529411764705882</v>
      </c>
      <c r="L127" s="78"/>
      <c r="M127" s="121"/>
      <c r="N127" s="21" t="s">
        <v>27</v>
      </c>
      <c r="O127" s="105">
        <f>COUNTIF($L$93:$L$109,"No, nunca")</f>
        <v>4</v>
      </c>
      <c r="P127" s="109">
        <f>COUNTIF($L$93:$L$109,"No, nunca")/COUNTA($L$93:$L$109)</f>
        <v>0.23529411764705882</v>
      </c>
      <c r="Q127" s="78"/>
      <c r="AC127" s="121"/>
      <c r="AD127" s="21" t="s">
        <v>14</v>
      </c>
      <c r="AE127" s="105">
        <f>COUNTIF($AI$96:$AI$107,"No lo sé, no había pensado en ello")</f>
        <v>1</v>
      </c>
      <c r="AF127" s="109">
        <f>COUNTIF($AI$96:$AI$107,"No lo sé, no había pensado en ello")/COUNTA($AI$96:$AI$107)</f>
        <v>8.3333333333333329E-2</v>
      </c>
      <c r="AG127" s="79"/>
      <c r="AH127" s="121"/>
      <c r="AI127" s="21" t="s">
        <v>26</v>
      </c>
      <c r="AJ127" s="105">
        <f>COUNTIF($AJ$96:$AJ$107,"Tener experiencia en las redes sociales para saber distinguirlas")</f>
        <v>2</v>
      </c>
      <c r="AK127" s="108">
        <f>COUNTIF($AJ$96:$AJ$107,"Tener experiencia en las redes sociales para saber distinguirlas")/COUNTA($AJ$96:$AJ$107)</f>
        <v>0.16666666666666666</v>
      </c>
      <c r="AL127" s="78"/>
      <c r="AM127" s="121"/>
      <c r="AN127" s="21" t="s">
        <v>33</v>
      </c>
      <c r="AO127" s="105">
        <f>COUNTIF($AK$96:$AK$107,"No lo sé / No lo recuerdo")</f>
        <v>3</v>
      </c>
      <c r="AP127" s="109">
        <f>COUNTIF($AK$96:$AK$107,"No lo sé / No lo recuerdo")/COUNTA($AK$96:$AK$107)</f>
        <v>0.25</v>
      </c>
      <c r="AQ127" s="78"/>
    </row>
    <row r="128" spans="2:43" s="37" customFormat="1" ht="60" customHeight="1" x14ac:dyDescent="0.25">
      <c r="B128" s="30"/>
      <c r="C128" s="121"/>
      <c r="D128" s="21" t="s">
        <v>14</v>
      </c>
      <c r="E128" s="105">
        <f>COUNTIF($J$93:$J$109,"No lo sé, no había pensado en ello")</f>
        <v>3</v>
      </c>
      <c r="F128" s="109">
        <f>COUNTIF($J$93:$J$109,"No lo sé, no había pensado en ello")/COUNTA($J$93:$J$109)</f>
        <v>0.17647058823529413</v>
      </c>
      <c r="G128" s="79"/>
      <c r="H128" s="121"/>
      <c r="I128" s="21" t="s">
        <v>26</v>
      </c>
      <c r="J128" s="105">
        <f>COUNTIF($K$93:$K$109,"Tener experiencia en las redes sociales para saber distinguirlas")</f>
        <v>6</v>
      </c>
      <c r="K128" s="108">
        <f>COUNTIF($K$93:$K$109,"Tener experiencia en las redes sociales para saber distinguirlas")/COUNTA($K$93:$K$109)</f>
        <v>0.35294117647058826</v>
      </c>
      <c r="L128" s="78"/>
      <c r="M128" s="121"/>
      <c r="N128" s="21" t="s">
        <v>33</v>
      </c>
      <c r="O128" s="105">
        <f>COUNTIF($L$93:$L$109,"No lo sé / No lo recuerdo")</f>
        <v>4</v>
      </c>
      <c r="P128" s="109">
        <f>COUNTIF($L$93:$L$109,"No lo sé / No lo recuerdo")/COUNTA($L$93:$L$109)</f>
        <v>0.23529411764705882</v>
      </c>
      <c r="Q128" s="78"/>
      <c r="AC128" s="121"/>
      <c r="AD128" s="72" t="s">
        <v>43</v>
      </c>
      <c r="AE128" s="123">
        <f>SUM(AE125:AE127)</f>
        <v>12</v>
      </c>
      <c r="AF128" s="124"/>
      <c r="AG128" s="79"/>
      <c r="AH128" s="121"/>
      <c r="AI128" s="72" t="s">
        <v>43</v>
      </c>
      <c r="AJ128" s="123">
        <f>SUM(AJ125:AJ127)</f>
        <v>12</v>
      </c>
      <c r="AK128" s="124"/>
      <c r="AL128" s="78"/>
      <c r="AM128" s="121"/>
      <c r="AN128" s="28" t="s">
        <v>16</v>
      </c>
      <c r="AO128" s="105">
        <f>COUNTIF($AK$96:$AK$107,"Sí, una vez")</f>
        <v>2</v>
      </c>
      <c r="AP128" s="109">
        <f>COUNTIF($AK$96:$AK$107,"Sí, una vez")/COUNTA($AK$96:$AK$107)</f>
        <v>0.16666666666666666</v>
      </c>
      <c r="AQ128" s="78"/>
    </row>
    <row r="129" spans="2:43" s="37" customFormat="1" ht="60" customHeight="1" x14ac:dyDescent="0.25">
      <c r="B129" s="30"/>
      <c r="C129" s="121"/>
      <c r="D129" s="72" t="s">
        <v>43</v>
      </c>
      <c r="E129" s="123">
        <f>SUM(E126:E128)</f>
        <v>17</v>
      </c>
      <c r="F129" s="124"/>
      <c r="G129" s="79"/>
      <c r="H129" s="121"/>
      <c r="I129" s="72" t="s">
        <v>43</v>
      </c>
      <c r="J129" s="123">
        <f>SUM(J126:J128)</f>
        <v>17</v>
      </c>
      <c r="K129" s="124"/>
      <c r="L129" s="78"/>
      <c r="M129" s="121"/>
      <c r="N129" s="28" t="s">
        <v>84</v>
      </c>
      <c r="O129" s="105">
        <f>COUNTIF($L$93:$L$109,"Sí, una vez")</f>
        <v>6</v>
      </c>
      <c r="P129" s="109">
        <f>COUNTIF($L$93:$L$109,"Sí, una vez")/COUNTA($L$93:$L$109)</f>
        <v>0.35294117647058826</v>
      </c>
      <c r="Q129" s="78"/>
      <c r="AC129" s="79"/>
      <c r="AD129" s="79"/>
      <c r="AE129" s="78"/>
      <c r="AF129" s="78"/>
      <c r="AG129" s="79"/>
      <c r="AH129" s="79"/>
      <c r="AI129" s="79"/>
      <c r="AJ129" s="78"/>
      <c r="AK129" s="79"/>
      <c r="AL129" s="78"/>
      <c r="AM129" s="121"/>
      <c r="AN129" s="72" t="s">
        <v>43</v>
      </c>
      <c r="AO129" s="123">
        <f>SUM(AO125:AO128)</f>
        <v>12</v>
      </c>
      <c r="AP129" s="124"/>
      <c r="AQ129" s="78"/>
    </row>
    <row r="130" spans="2:43" s="37" customFormat="1" ht="60" customHeight="1" x14ac:dyDescent="0.25">
      <c r="B130" s="30"/>
      <c r="C130" s="79"/>
      <c r="D130" s="79"/>
      <c r="E130" s="78"/>
      <c r="F130" s="78"/>
      <c r="G130" s="79"/>
      <c r="H130" s="79"/>
      <c r="I130" s="79"/>
      <c r="J130" s="78"/>
      <c r="K130" s="79"/>
      <c r="L130" s="78"/>
      <c r="M130" s="121"/>
      <c r="N130" s="71" t="s">
        <v>43</v>
      </c>
      <c r="O130" s="123">
        <f>SUM(O126:O129)</f>
        <v>17</v>
      </c>
      <c r="P130" s="124"/>
      <c r="Q130" s="78"/>
      <c r="AC130" s="79"/>
      <c r="AD130" s="79"/>
      <c r="AE130" s="78"/>
      <c r="AF130" s="78"/>
      <c r="AG130" s="78"/>
      <c r="AH130" s="78"/>
      <c r="AI130" s="79"/>
      <c r="AJ130" s="78"/>
      <c r="AK130" s="79"/>
      <c r="AL130" s="78"/>
      <c r="AM130" s="78"/>
      <c r="AN130" s="78"/>
      <c r="AO130" s="78"/>
      <c r="AP130" s="78"/>
      <c r="AQ130" s="78"/>
    </row>
    <row r="131" spans="2:43" s="37" customFormat="1" ht="60" customHeight="1" x14ac:dyDescent="0.35">
      <c r="B131" s="30"/>
      <c r="C131" s="79"/>
      <c r="D131" s="79"/>
      <c r="E131" s="78"/>
      <c r="F131" s="78"/>
      <c r="G131" s="78"/>
      <c r="H131" s="78"/>
      <c r="I131" s="79"/>
      <c r="J131" s="78"/>
      <c r="K131" s="79"/>
      <c r="L131" s="78"/>
      <c r="M131" s="78"/>
      <c r="N131" s="78"/>
      <c r="O131" s="78"/>
      <c r="P131" s="78"/>
      <c r="Q131" s="78"/>
      <c r="AC131" s="121" t="s">
        <v>87</v>
      </c>
      <c r="AD131" s="21" t="s">
        <v>104</v>
      </c>
      <c r="AE131" s="107">
        <f>COUNTIF($AP$96:$AP$107,"Logro detectar todas las noticias")</f>
        <v>5</v>
      </c>
      <c r="AF131" s="114">
        <f>COUNTIF($AP$96:$AP$107,"Logro detectar todas las noticias")/COUNTA($AP$96:$AP$107)</f>
        <v>0.41666666666666669</v>
      </c>
      <c r="AG131" s="82"/>
      <c r="AH131" s="121" t="s">
        <v>60</v>
      </c>
      <c r="AI131" s="18" t="s">
        <v>88</v>
      </c>
      <c r="AJ131" s="105">
        <f>COUNTIF($AQ$96:$AQ$107,"Riesgo alto")</f>
        <v>6</v>
      </c>
      <c r="AK131" s="115">
        <f>COUNTIF($AQ$96:$AQ$107,"Riesgo alto")/COUNTA($AQ$96:$AQ$107)</f>
        <v>0.5</v>
      </c>
      <c r="AL131" s="82"/>
      <c r="AM131" s="121" t="s">
        <v>62</v>
      </c>
      <c r="AN131" s="21" t="s">
        <v>90</v>
      </c>
      <c r="AO131" s="105">
        <f>COUNTIF($AR$96:$AR$107,"Posiblemente sea vulnerable")</f>
        <v>3</v>
      </c>
      <c r="AP131" s="114">
        <f>COUNTIF($AR$96:$AR$107,"Posiblemente sea vulnerable")/COUNTA($AR$96:$AR$107)</f>
        <v>0.25</v>
      </c>
      <c r="AQ131" s="82"/>
    </row>
    <row r="132" spans="2:43" ht="66" customHeight="1" x14ac:dyDescent="0.35">
      <c r="C132" s="121" t="s">
        <v>87</v>
      </c>
      <c r="D132" s="21" t="s">
        <v>104</v>
      </c>
      <c r="E132" s="107">
        <f>COUNTIF($Q$93:$Q$109,"Logro detectar todas las noticias")</f>
        <v>5</v>
      </c>
      <c r="F132" s="112">
        <f>COUNTIF($Q$93:$Q$109,"Logro detectar todas las noticias")/COUNTA($Q$93:$Q$109)</f>
        <v>0.29411764705882354</v>
      </c>
      <c r="G132" s="85"/>
      <c r="H132" s="121" t="s">
        <v>60</v>
      </c>
      <c r="I132" s="18" t="s">
        <v>88</v>
      </c>
      <c r="J132" s="105">
        <f>COUNTIF($R$93:$R$109,"Riesgo alto")</f>
        <v>7</v>
      </c>
      <c r="K132" s="108">
        <f>COUNTIF($R$93:$R$109,"Riesgo alto")/COUNTA($R$93:$R$109)</f>
        <v>0.41176470588235292</v>
      </c>
      <c r="L132" s="85"/>
      <c r="M132" s="121" t="s">
        <v>62</v>
      </c>
      <c r="N132" s="74" t="s">
        <v>90</v>
      </c>
      <c r="O132" s="105">
        <f>COUNTIF($S$93:$S$109,"Posiblemente sea vulnerable")</f>
        <v>3</v>
      </c>
      <c r="P132" s="109">
        <f>COUNTIF($S$93:$S$109,"Posiblemente sea vulnerable")/COUNTA($S$93:$S$109)</f>
        <v>0.17647058823529413</v>
      </c>
      <c r="Q132" s="85"/>
      <c r="AC132" s="121"/>
      <c r="AD132" s="21" t="s">
        <v>86</v>
      </c>
      <c r="AE132" s="107">
        <f>COUNTIF($AP$96:$AP$107,"Fallo en algo al detectar")</f>
        <v>7</v>
      </c>
      <c r="AF132" s="114">
        <f>COUNTIF($AP$96:$AP$107,"Fallo en algo al detectar")/COUNTA($AP$96:$AP$107)</f>
        <v>0.58333333333333337</v>
      </c>
      <c r="AH132" s="121"/>
      <c r="AI132" s="18" t="s">
        <v>89</v>
      </c>
      <c r="AJ132" s="105">
        <f>COUNTIF($AQ$96:$AQ$107,"Riesgo bajo")</f>
        <v>6</v>
      </c>
      <c r="AK132" s="115">
        <f>COUNTIF($AQ$96:$AQ$107,"Riesgo bajo")/COUNTA($AQ$96:$AQ$107)</f>
        <v>0.5</v>
      </c>
      <c r="AM132" s="121"/>
      <c r="AN132" s="21" t="s">
        <v>91</v>
      </c>
      <c r="AO132" s="105">
        <f>COUNTIF($AR$96:$AR$107,"Puede que no sea vulnerable")</f>
        <v>9</v>
      </c>
      <c r="AP132" s="114">
        <f>COUNTIF($AR$96:$AR$107,"Puede que no sea vulnerable")/COUNTA($AR$96:$AR$107)</f>
        <v>0.75</v>
      </c>
    </row>
    <row r="133" spans="2:43" ht="66" customHeight="1" x14ac:dyDescent="0.35">
      <c r="C133" s="121"/>
      <c r="D133" s="21" t="s">
        <v>86</v>
      </c>
      <c r="E133" s="107">
        <f>COUNTIF($Q$93:$Q$109,"Fallo en algo al detectar")</f>
        <v>12</v>
      </c>
      <c r="F133" s="112">
        <f>COUNTIF($Q$93:$Q$109,"Fallo en algo al detectar")/COUNTA($Q$93:$Q$109)</f>
        <v>0.70588235294117652</v>
      </c>
      <c r="H133" s="121"/>
      <c r="I133" s="18" t="s">
        <v>89</v>
      </c>
      <c r="J133" s="105">
        <f>COUNTIF($R$93:$R$109,"Riesgo bajo")</f>
        <v>10</v>
      </c>
      <c r="K133" s="108">
        <f>COUNTIF($R$93:$R$109,"Riesgo bajo")/COUNTA($R$93:$R$109)</f>
        <v>0.58823529411764708</v>
      </c>
      <c r="M133" s="121"/>
      <c r="N133" s="74" t="s">
        <v>91</v>
      </c>
      <c r="O133" s="105">
        <f>COUNTIF($S$93:$S$109,"Puede que no sea vulnerable")</f>
        <v>14</v>
      </c>
      <c r="P133" s="109">
        <f>COUNTIF($S$93:$S$109,"Puede que no sea vulnerable")/COUNTA($S$93:$S$109)</f>
        <v>0.82352941176470584</v>
      </c>
      <c r="AC133" s="121"/>
      <c r="AD133" s="71" t="s">
        <v>43</v>
      </c>
      <c r="AE133" s="125">
        <f>SUM(AE131:AE132)</f>
        <v>12</v>
      </c>
      <c r="AF133" s="126"/>
      <c r="AG133" s="79"/>
      <c r="AH133" s="121"/>
      <c r="AI133" s="72" t="s">
        <v>43</v>
      </c>
      <c r="AJ133" s="123">
        <f>SUM(AJ131:AJ132)</f>
        <v>12</v>
      </c>
      <c r="AK133" s="124"/>
      <c r="AL133" s="79"/>
      <c r="AM133" s="121"/>
      <c r="AN133" s="72" t="s">
        <v>43</v>
      </c>
      <c r="AO133" s="123">
        <f>SUM(AO131:AO132)</f>
        <v>12</v>
      </c>
      <c r="AP133" s="124"/>
      <c r="AQ133" s="78"/>
    </row>
    <row r="134" spans="2:43" ht="66" customHeight="1" x14ac:dyDescent="0.2">
      <c r="C134" s="121"/>
      <c r="D134" s="71" t="s">
        <v>43</v>
      </c>
      <c r="E134" s="125">
        <f>SUM(E132:E133)</f>
        <v>17</v>
      </c>
      <c r="F134" s="126"/>
      <c r="H134" s="121"/>
      <c r="I134" s="72" t="s">
        <v>43</v>
      </c>
      <c r="J134" s="123">
        <f>SUM(J132:J133)</f>
        <v>17</v>
      </c>
      <c r="K134" s="124"/>
      <c r="M134" s="121"/>
      <c r="N134" s="72" t="s">
        <v>43</v>
      </c>
      <c r="O134" s="123">
        <f>SUM(O132:O133)</f>
        <v>17</v>
      </c>
      <c r="P134" s="124"/>
      <c r="AC134" s="79"/>
      <c r="AD134" s="78"/>
      <c r="AE134" s="78"/>
      <c r="AF134" s="78"/>
      <c r="AG134" s="79"/>
      <c r="AH134" s="78"/>
      <c r="AI134" s="79"/>
      <c r="AJ134" s="78"/>
      <c r="AK134" s="79"/>
      <c r="AL134" s="79"/>
      <c r="AM134" s="78"/>
      <c r="AN134" s="78"/>
      <c r="AO134" s="79"/>
      <c r="AP134" s="79"/>
      <c r="AQ134" s="78"/>
    </row>
    <row r="135" spans="2:43" ht="18" x14ac:dyDescent="0.2">
      <c r="AC135" s="79"/>
      <c r="AD135" s="78"/>
      <c r="AE135" s="78"/>
      <c r="AF135" s="78"/>
      <c r="AG135" s="79"/>
      <c r="AH135" s="78"/>
      <c r="AI135" s="79"/>
      <c r="AJ135" s="78"/>
      <c r="AK135" s="79"/>
      <c r="AL135" s="79"/>
      <c r="AM135" s="78"/>
      <c r="AN135" s="78"/>
      <c r="AO135" s="79"/>
      <c r="AP135" s="79"/>
      <c r="AQ135" s="78"/>
    </row>
    <row r="136" spans="2:43" ht="90" customHeight="1" x14ac:dyDescent="0.2">
      <c r="C136" s="79"/>
      <c r="D136" s="78"/>
      <c r="E136" s="78"/>
      <c r="F136" s="78"/>
      <c r="G136" s="79"/>
      <c r="H136" s="78"/>
      <c r="I136" s="79"/>
      <c r="J136" s="78"/>
      <c r="K136" s="79"/>
      <c r="L136" s="79"/>
      <c r="M136" s="78"/>
      <c r="N136" s="78"/>
      <c r="O136" s="79"/>
      <c r="P136" s="79"/>
      <c r="Q136" s="78"/>
      <c r="AC136" s="79"/>
      <c r="AD136" s="78"/>
      <c r="AE136" s="78"/>
      <c r="AF136" s="78"/>
      <c r="AG136" s="78"/>
      <c r="AH136" s="78"/>
      <c r="AI136" s="79"/>
      <c r="AJ136" s="78"/>
      <c r="AK136" s="79"/>
      <c r="AL136" s="78"/>
      <c r="AM136" s="78"/>
      <c r="AN136" s="78"/>
      <c r="AO136" s="79"/>
      <c r="AP136" s="78"/>
      <c r="AQ136" s="78"/>
    </row>
    <row r="137" spans="2:43" ht="18" x14ac:dyDescent="0.2">
      <c r="C137" s="79"/>
      <c r="D137" s="78"/>
      <c r="E137" s="78"/>
      <c r="F137" s="78"/>
      <c r="G137" s="79"/>
      <c r="H137" s="78"/>
      <c r="I137" s="79"/>
      <c r="J137" s="78"/>
      <c r="K137" s="79"/>
      <c r="L137" s="79"/>
      <c r="M137" s="78"/>
      <c r="N137" s="78"/>
      <c r="O137" s="79"/>
      <c r="P137" s="79"/>
      <c r="Q137" s="78"/>
      <c r="AC137" s="79"/>
      <c r="AD137" s="78"/>
      <c r="AE137" s="78"/>
      <c r="AF137" s="78"/>
      <c r="AG137" s="78"/>
      <c r="AH137" s="78"/>
      <c r="AI137" s="79"/>
      <c r="AJ137" s="78"/>
      <c r="AK137" s="79"/>
      <c r="AL137" s="78"/>
      <c r="AM137" s="78"/>
      <c r="AN137" s="78"/>
      <c r="AO137" s="78"/>
      <c r="AP137" s="78"/>
      <c r="AQ137" s="78"/>
    </row>
    <row r="138" spans="2:43" ht="18" customHeight="1" x14ac:dyDescent="0.2">
      <c r="B138" s="88"/>
      <c r="C138" s="79"/>
      <c r="D138" s="78"/>
      <c r="E138" s="78"/>
      <c r="F138" s="78"/>
      <c r="G138" s="79"/>
      <c r="H138" s="78"/>
      <c r="I138" s="79"/>
      <c r="J138" s="78"/>
      <c r="K138" s="79"/>
      <c r="L138" s="79"/>
      <c r="M138" s="78"/>
      <c r="N138" s="78"/>
      <c r="O138" s="79"/>
      <c r="P138" s="79"/>
      <c r="Q138" s="78"/>
      <c r="AC138" s="20"/>
      <c r="AD138" s="20"/>
      <c r="AE138" s="20"/>
      <c r="AF138" s="20"/>
      <c r="AG138" s="20"/>
      <c r="AH138" s="20"/>
      <c r="AI138" s="27"/>
      <c r="AJ138" s="20"/>
      <c r="AK138" s="27"/>
      <c r="AL138" s="20"/>
      <c r="AM138" s="20"/>
      <c r="AN138" s="20"/>
      <c r="AO138" s="20"/>
      <c r="AP138" s="20"/>
      <c r="AQ138" s="20"/>
    </row>
    <row r="139" spans="2:43" ht="18" x14ac:dyDescent="0.2">
      <c r="B139" s="88"/>
      <c r="C139" s="79"/>
      <c r="D139" s="78"/>
      <c r="E139" s="78"/>
      <c r="F139" s="78"/>
      <c r="G139" s="78"/>
      <c r="H139" s="78"/>
      <c r="I139" s="79"/>
      <c r="J139" s="78"/>
      <c r="K139" s="79"/>
      <c r="L139" s="78"/>
      <c r="M139" s="78"/>
      <c r="N139" s="78"/>
      <c r="O139" s="79"/>
      <c r="P139" s="78"/>
      <c r="Q139" s="78"/>
      <c r="AC139" s="20"/>
      <c r="AD139" s="20"/>
      <c r="AE139" s="20"/>
      <c r="AF139" s="20"/>
      <c r="AG139" s="20"/>
      <c r="AH139" s="20"/>
      <c r="AI139" s="27"/>
      <c r="AJ139" s="20"/>
      <c r="AK139" s="27"/>
      <c r="AL139" s="20"/>
      <c r="AM139" s="20"/>
      <c r="AN139" s="20"/>
      <c r="AO139" s="20"/>
      <c r="AP139" s="20"/>
      <c r="AQ139" s="20"/>
    </row>
    <row r="140" spans="2:43" ht="16.5" customHeight="1" x14ac:dyDescent="0.2">
      <c r="B140" s="88"/>
      <c r="C140" s="79"/>
      <c r="D140" s="78"/>
      <c r="E140" s="78"/>
      <c r="F140" s="78"/>
      <c r="G140" s="78"/>
      <c r="H140" s="78"/>
      <c r="I140" s="79"/>
      <c r="J140" s="78"/>
      <c r="K140" s="79"/>
      <c r="L140" s="78"/>
      <c r="M140" s="78"/>
      <c r="N140" s="78"/>
      <c r="O140" s="78"/>
      <c r="P140" s="78"/>
      <c r="Q140" s="78"/>
      <c r="AC140" s="79"/>
      <c r="AD140" s="79"/>
      <c r="AE140" s="78"/>
      <c r="AF140" s="78"/>
      <c r="AG140" s="79"/>
      <c r="AH140" s="79"/>
      <c r="AI140" s="79"/>
      <c r="AJ140" s="78"/>
      <c r="AK140" s="79"/>
      <c r="AL140" s="78"/>
      <c r="AM140" s="78"/>
      <c r="AN140" s="78"/>
      <c r="AO140" s="79"/>
      <c r="AP140" s="79"/>
      <c r="AQ140" s="78"/>
    </row>
    <row r="141" spans="2:43" ht="18" x14ac:dyDescent="0.2">
      <c r="B141" s="88"/>
      <c r="C141" s="78"/>
      <c r="D141" s="78"/>
      <c r="E141" s="78"/>
      <c r="F141" s="78"/>
      <c r="G141" s="78"/>
      <c r="H141" s="78"/>
      <c r="I141" s="79"/>
      <c r="J141" s="78"/>
      <c r="K141" s="79"/>
      <c r="L141" s="78"/>
      <c r="M141" s="78"/>
      <c r="N141" s="78"/>
      <c r="O141" s="78"/>
      <c r="P141" s="78"/>
      <c r="Q141" s="78"/>
      <c r="AC141" s="79"/>
      <c r="AD141" s="79"/>
      <c r="AE141" s="78"/>
      <c r="AF141" s="78"/>
      <c r="AG141" s="79"/>
      <c r="AH141" s="79"/>
      <c r="AI141" s="79"/>
      <c r="AJ141" s="78"/>
      <c r="AK141" s="79"/>
      <c r="AL141" s="78"/>
      <c r="AM141" s="78"/>
      <c r="AN141" s="78"/>
      <c r="AO141" s="79"/>
      <c r="AP141" s="79"/>
      <c r="AQ141" s="78"/>
    </row>
    <row r="142" spans="2:43" ht="18" x14ac:dyDescent="0.2">
      <c r="B142" s="88"/>
      <c r="C142" s="78"/>
      <c r="D142" s="78"/>
      <c r="E142" s="78"/>
      <c r="F142" s="78"/>
      <c r="G142" s="78"/>
      <c r="H142" s="78"/>
      <c r="I142" s="79"/>
      <c r="J142" s="78"/>
      <c r="K142" s="79"/>
      <c r="L142" s="78"/>
      <c r="M142" s="78"/>
      <c r="N142" s="78"/>
      <c r="O142" s="78"/>
      <c r="P142" s="78"/>
      <c r="Q142" s="78"/>
      <c r="AC142" s="79"/>
      <c r="AD142" s="79"/>
      <c r="AE142" s="78"/>
      <c r="AF142" s="78"/>
      <c r="AG142" s="79"/>
      <c r="AH142" s="79"/>
      <c r="AI142" s="79"/>
      <c r="AJ142" s="78"/>
      <c r="AK142" s="79"/>
      <c r="AL142" s="78"/>
      <c r="AM142" s="78"/>
      <c r="AN142" s="78"/>
      <c r="AO142" s="79"/>
      <c r="AP142" s="78"/>
      <c r="AQ142" s="78"/>
    </row>
    <row r="143" spans="2:43" ht="21" customHeight="1" x14ac:dyDescent="0.2">
      <c r="B143" s="88"/>
      <c r="C143" s="79"/>
      <c r="D143" s="79"/>
      <c r="E143" s="78"/>
      <c r="F143" s="78"/>
      <c r="G143" s="79"/>
      <c r="H143" s="79"/>
      <c r="I143" s="79"/>
      <c r="J143" s="78"/>
      <c r="K143" s="79"/>
      <c r="L143" s="78"/>
      <c r="M143" s="78"/>
      <c r="N143" s="78"/>
      <c r="O143" s="79"/>
      <c r="P143" s="79"/>
      <c r="Q143" s="78"/>
      <c r="AC143" s="79"/>
      <c r="AD143" s="79"/>
      <c r="AE143" s="78"/>
      <c r="AF143" s="78"/>
      <c r="AG143" s="78"/>
      <c r="AH143" s="78"/>
      <c r="AI143" s="79"/>
      <c r="AJ143" s="78"/>
      <c r="AK143" s="79"/>
      <c r="AL143" s="78"/>
      <c r="AM143" s="78"/>
      <c r="AN143" s="78"/>
      <c r="AO143" s="78"/>
      <c r="AP143" s="78"/>
      <c r="AQ143" s="78"/>
    </row>
    <row r="144" spans="2:43" ht="21" customHeight="1" x14ac:dyDescent="0.25">
      <c r="B144" s="88"/>
      <c r="C144" s="79"/>
      <c r="D144" s="79"/>
      <c r="E144" s="78"/>
      <c r="F144" s="78"/>
      <c r="G144" s="79"/>
      <c r="H144" s="79"/>
      <c r="I144" s="79"/>
      <c r="J144" s="78"/>
      <c r="K144" s="79"/>
      <c r="L144" s="78"/>
      <c r="M144" s="78"/>
      <c r="N144" s="78"/>
      <c r="O144" s="79"/>
      <c r="P144" s="79"/>
      <c r="Q144" s="78"/>
      <c r="AC144" s="79"/>
      <c r="AD144" s="82"/>
      <c r="AE144" s="82"/>
      <c r="AF144" s="82"/>
      <c r="AG144" s="82"/>
      <c r="AH144" s="82"/>
      <c r="AI144" s="82"/>
      <c r="AJ144" s="82"/>
      <c r="AK144" s="82"/>
      <c r="AL144" s="82"/>
      <c r="AM144" s="82"/>
      <c r="AN144" s="82"/>
      <c r="AO144" s="82"/>
      <c r="AP144" s="82"/>
      <c r="AQ144" s="82"/>
    </row>
    <row r="145" spans="2:17" ht="18" x14ac:dyDescent="0.2">
      <c r="B145" s="88"/>
      <c r="C145" s="79"/>
      <c r="D145" s="79"/>
      <c r="E145" s="78"/>
      <c r="F145" s="78"/>
      <c r="G145" s="79"/>
      <c r="H145" s="79"/>
      <c r="I145" s="79"/>
      <c r="J145" s="78"/>
      <c r="K145" s="79"/>
      <c r="L145" s="78"/>
      <c r="M145" s="78"/>
      <c r="N145" s="78"/>
      <c r="O145" s="79"/>
      <c r="P145" s="78"/>
      <c r="Q145" s="78"/>
    </row>
    <row r="146" spans="2:17" ht="18" x14ac:dyDescent="0.2">
      <c r="B146" s="88"/>
      <c r="C146" s="79"/>
      <c r="D146" s="79"/>
      <c r="E146" s="78"/>
      <c r="F146" s="78"/>
      <c r="G146" s="78"/>
      <c r="H146" s="78"/>
      <c r="I146" s="79"/>
      <c r="J146" s="78"/>
      <c r="K146" s="79"/>
      <c r="L146" s="78"/>
      <c r="M146" s="78"/>
      <c r="N146" s="78"/>
      <c r="O146" s="78"/>
      <c r="P146" s="78"/>
      <c r="Q146" s="78"/>
    </row>
    <row r="147" spans="2:17" ht="18" x14ac:dyDescent="0.25">
      <c r="B147" s="88"/>
      <c r="C147" s="79"/>
      <c r="D147" s="79"/>
      <c r="E147" s="82"/>
      <c r="F147" s="85"/>
      <c r="G147" s="85"/>
      <c r="H147" s="85"/>
      <c r="I147" s="86"/>
      <c r="J147" s="85"/>
      <c r="K147" s="87"/>
      <c r="L147" s="85"/>
      <c r="M147" s="85"/>
      <c r="N147" s="85"/>
      <c r="O147" s="85"/>
      <c r="P147" s="85"/>
      <c r="Q147" s="85"/>
    </row>
    <row r="148" spans="2:17" x14ac:dyDescent="0.2">
      <c r="B148" s="88"/>
      <c r="C148" s="85"/>
      <c r="D148" s="85"/>
      <c r="E148" s="85"/>
      <c r="F148" s="85"/>
      <c r="G148" s="85"/>
      <c r="H148" s="85"/>
      <c r="I148" s="86"/>
      <c r="J148" s="85"/>
      <c r="K148" s="87"/>
      <c r="L148" s="85"/>
      <c r="M148" s="85"/>
      <c r="N148" s="85"/>
      <c r="O148" s="85"/>
      <c r="P148" s="85"/>
      <c r="Q148" s="85"/>
    </row>
    <row r="149" spans="2:17" x14ac:dyDescent="0.2">
      <c r="B149" s="88"/>
      <c r="C149" s="85"/>
      <c r="D149" s="85"/>
      <c r="E149" s="85"/>
      <c r="F149" s="85"/>
      <c r="G149" s="85"/>
      <c r="H149" s="85"/>
      <c r="I149" s="86"/>
      <c r="J149" s="85"/>
      <c r="K149" s="87"/>
      <c r="L149" s="85"/>
      <c r="M149" s="85"/>
      <c r="N149" s="85"/>
      <c r="O149" s="85"/>
      <c r="P149" s="85"/>
      <c r="Q149" s="85"/>
    </row>
    <row r="150" spans="2:17" x14ac:dyDescent="0.2">
      <c r="B150" s="88"/>
      <c r="C150" s="85"/>
      <c r="D150" s="85"/>
      <c r="E150" s="85"/>
      <c r="F150" s="85"/>
      <c r="G150" s="85"/>
      <c r="H150" s="85"/>
      <c r="I150" s="86"/>
      <c r="J150" s="85"/>
      <c r="K150" s="87"/>
      <c r="L150" s="85"/>
      <c r="M150" s="85"/>
      <c r="N150" s="85"/>
      <c r="O150" s="85"/>
      <c r="P150" s="85"/>
      <c r="Q150" s="85"/>
    </row>
  </sheetData>
  <mergeCells count="109">
    <mergeCell ref="T1:Y1"/>
    <mergeCell ref="E118:F118"/>
    <mergeCell ref="C120:C123"/>
    <mergeCell ref="H120:H124"/>
    <mergeCell ref="M120:M122"/>
    <mergeCell ref="T82:U82"/>
    <mergeCell ref="J115:K115"/>
    <mergeCell ref="O114:P114"/>
    <mergeCell ref="AC131:AC133"/>
    <mergeCell ref="C126:C129"/>
    <mergeCell ref="Q2:AC11"/>
    <mergeCell ref="G64:G67"/>
    <mergeCell ref="B16:S16"/>
    <mergeCell ref="Z16:AQ16"/>
    <mergeCell ref="B17:I17"/>
    <mergeCell ref="J17:Q17"/>
    <mergeCell ref="J67:K67"/>
    <mergeCell ref="O67:P67"/>
    <mergeCell ref="J72:K72"/>
    <mergeCell ref="O73:P73"/>
    <mergeCell ref="E77:F77"/>
    <mergeCell ref="G75:G77"/>
    <mergeCell ref="AB62:AB65"/>
    <mergeCell ref="AG62:AG65"/>
    <mergeCell ref="AH131:AH133"/>
    <mergeCell ref="O116:O119"/>
    <mergeCell ref="M111:M114"/>
    <mergeCell ref="AE117:AF117"/>
    <mergeCell ref="AC110:AC117"/>
    <mergeCell ref="E84:F84"/>
    <mergeCell ref="J82:K82"/>
    <mergeCell ref="O82:P82"/>
    <mergeCell ref="H111:H115"/>
    <mergeCell ref="O122:P122"/>
    <mergeCell ref="J129:K129"/>
    <mergeCell ref="E129:F129"/>
    <mergeCell ref="O130:P130"/>
    <mergeCell ref="H126:H129"/>
    <mergeCell ref="M126:M130"/>
    <mergeCell ref="E123:F123"/>
    <mergeCell ref="J124:K124"/>
    <mergeCell ref="AA93:AR93"/>
    <mergeCell ref="B88:S88"/>
    <mergeCell ref="G80:G82"/>
    <mergeCell ref="C80:C84"/>
    <mergeCell ref="C111:C118"/>
    <mergeCell ref="AO133:AP133"/>
    <mergeCell ref="AO121:AP121"/>
    <mergeCell ref="AB47:AB54"/>
    <mergeCell ref="AI51:AJ51"/>
    <mergeCell ref="AL47:AL50"/>
    <mergeCell ref="AB56:AB59"/>
    <mergeCell ref="AG56:AG60"/>
    <mergeCell ref="AL56:AL58"/>
    <mergeCell ref="AL68:AL70"/>
    <mergeCell ref="AM131:AM133"/>
    <mergeCell ref="C132:C134"/>
    <mergeCell ref="H132:H134"/>
    <mergeCell ref="M132:M134"/>
    <mergeCell ref="AH119:AH123"/>
    <mergeCell ref="AM119:AM121"/>
    <mergeCell ref="AC125:AC128"/>
    <mergeCell ref="AH125:AH128"/>
    <mergeCell ref="AM125:AM129"/>
    <mergeCell ref="E134:F134"/>
    <mergeCell ref="J134:K134"/>
    <mergeCell ref="O134:P134"/>
    <mergeCell ref="AJ133:AK133"/>
    <mergeCell ref="AE133:AF133"/>
    <mergeCell ref="AJ123:AK123"/>
    <mergeCell ref="AE128:AF128"/>
    <mergeCell ref="AJ128:AK128"/>
    <mergeCell ref="C64:C71"/>
    <mergeCell ref="H69:H72"/>
    <mergeCell ref="M69:M73"/>
    <mergeCell ref="C75:C77"/>
    <mergeCell ref="H75:H78"/>
    <mergeCell ref="M75:M78"/>
    <mergeCell ref="J78:K78"/>
    <mergeCell ref="AJ114:AK114"/>
    <mergeCell ref="AC75:AC79"/>
    <mergeCell ref="AG68:AG70"/>
    <mergeCell ref="AK69:AK72"/>
    <mergeCell ref="AB68:AB70"/>
    <mergeCell ref="T77:T79"/>
    <mergeCell ref="H80:H82"/>
    <mergeCell ref="M80:M82"/>
    <mergeCell ref="R80:R82"/>
    <mergeCell ref="H64:H67"/>
    <mergeCell ref="M64:M67"/>
    <mergeCell ref="O78:P78"/>
    <mergeCell ref="AM110:AM113"/>
    <mergeCell ref="AH110:AH114"/>
    <mergeCell ref="AC119:AC122"/>
    <mergeCell ref="AO129:AP129"/>
    <mergeCell ref="AD54:AE54"/>
    <mergeCell ref="AN50:AO50"/>
    <mergeCell ref="AN66:AO66"/>
    <mergeCell ref="AI65:AJ65"/>
    <mergeCell ref="AI70:AJ70"/>
    <mergeCell ref="AD65:AE65"/>
    <mergeCell ref="AD70:AE70"/>
    <mergeCell ref="AN70:AO70"/>
    <mergeCell ref="AI60:AJ60"/>
    <mergeCell ref="AD59:AE59"/>
    <mergeCell ref="AN58:AO58"/>
    <mergeCell ref="AL62:AL66"/>
    <mergeCell ref="AG47:AG51"/>
    <mergeCell ref="AK57:AK60"/>
  </mergeCells>
  <conditionalFormatting sqref="Q21:Q60">
    <cfRule type="containsText" dxfId="118" priority="34" operator="containsText" text="Fallo en algo al detectar">
      <formula>NOT(ISERROR(SEARCH("Fallo en algo al detectar",Q21)))</formula>
    </cfRule>
    <cfRule type="containsText" dxfId="117" priority="35" operator="containsText" text="Logro detectar las noticias falsas">
      <formula>NOT(ISERROR(SEARCH("Logro detectar las noticias falsas",Q21)))</formula>
    </cfRule>
    <cfRule type="containsText" priority="25" operator="containsText" text="Logro detectar todas las noticias">
      <formula>NOT(ISERROR(SEARCH("Logro detectar todas las noticias",Q21)))</formula>
    </cfRule>
    <cfRule type="containsText" dxfId="116" priority="24" operator="containsText" text="Logro detectar todas las noticias ">
      <formula>NOT(ISERROR(SEARCH("Logro detectar todas las noticias ",Q21)))</formula>
    </cfRule>
    <cfRule type="containsText" dxfId="115" priority="23" operator="containsText" text="Logro detectar todas las noticias">
      <formula>NOT(ISERROR(SEARCH("Logro detectar todas las noticias",Q21)))</formula>
    </cfRule>
  </conditionalFormatting>
  <conditionalFormatting sqref="Q93:Q109">
    <cfRule type="containsText" dxfId="114" priority="30" operator="containsText" text="Fallo en algo al detectar">
      <formula>NOT(ISERROR(SEARCH("Fallo en algo al detectar",Q93)))</formula>
    </cfRule>
    <cfRule type="containsText" dxfId="113" priority="31" operator="containsText" text="Logro detectar las noticias falsas">
      <formula>NOT(ISERROR(SEARCH("Logro detectar las noticias falsas",Q93)))</formula>
    </cfRule>
    <cfRule type="containsText" dxfId="112" priority="22" operator="containsText" text="Logro detectar todas las noticias">
      <formula>NOT(ISERROR(SEARCH("Logro detectar todas las noticias",Q93)))</formula>
    </cfRule>
  </conditionalFormatting>
  <conditionalFormatting sqref="AP96:AP107">
    <cfRule type="containsText" dxfId="111" priority="26" operator="containsText" text="Fallo en algo al detectar">
      <formula>NOT(ISERROR(SEARCH("Fallo en algo al detectar",AP96)))</formula>
    </cfRule>
    <cfRule type="containsText" dxfId="110" priority="27" operator="containsText" text="Logro detectar las noticias falsas">
      <formula>NOT(ISERROR(SEARCH("Logro detectar las noticias falsas",AP96)))</formula>
    </cfRule>
    <cfRule type="containsText" dxfId="109" priority="20" operator="containsText" text="Logro detectar todas las noticias">
      <formula>NOT(ISERROR(SEARCH("Logro detectar todas las noticias",AP96)))</formula>
    </cfRule>
  </conditionalFormatting>
  <conditionalFormatting sqref="AO21:AO43">
    <cfRule type="containsText" dxfId="108" priority="28" operator="containsText" text="Fallo en algo al detectar">
      <formula>NOT(ISERROR(SEARCH("Fallo en algo al detectar",AO21)))</formula>
    </cfRule>
    <cfRule type="containsText" dxfId="107" priority="29" operator="containsText" text="Logro detectar las noticias falsas">
      <formula>NOT(ISERROR(SEARCH("Logro detectar las noticias falsas",AO21)))</formula>
    </cfRule>
    <cfRule type="containsText" dxfId="106" priority="21" operator="containsText" text="Logro detectar todas las noticias">
      <formula>NOT(ISERROR(SEARCH("Logro detectar todas las noticias",AO21)))</formula>
    </cfRule>
  </conditionalFormatting>
  <conditionalFormatting sqref="R21:R60">
    <cfRule type="containsText" dxfId="105" priority="19" operator="containsText" text="Riesgo alto">
      <formula>NOT(ISERROR(SEARCH("Riesgo alto",R21)))</formula>
    </cfRule>
  </conditionalFormatting>
  <conditionalFormatting sqref="R20:R60">
    <cfRule type="containsText" dxfId="104" priority="18" operator="containsText" text="Riesgo bajo">
      <formula>NOT(ISERROR(SEARCH("Riesgo bajo",R20)))</formula>
    </cfRule>
  </conditionalFormatting>
  <conditionalFormatting sqref="R93:R109">
    <cfRule type="containsText" dxfId="103" priority="17" operator="containsText" text="Riesgo alto">
      <formula>NOT(ISERROR(SEARCH("Riesgo alto",R93)))</formula>
    </cfRule>
    <cfRule type="containsText" priority="16" operator="containsText" text="Riesgo bajo">
      <formula>NOT(ISERROR(SEARCH("Riesgo bajo",R93)))</formula>
    </cfRule>
    <cfRule type="containsText" dxfId="102" priority="15" operator="containsText" text="Riesgo bajo">
      <formula>NOT(ISERROR(SEARCH("Riesgo bajo",R93)))</formula>
    </cfRule>
  </conditionalFormatting>
  <conditionalFormatting sqref="AP21:AP43">
    <cfRule type="containsText" dxfId="101" priority="14" operator="containsText" text="Riesgo alto">
      <formula>NOT(ISERROR(SEARCH("Riesgo alto",AP21)))</formula>
    </cfRule>
    <cfRule type="containsText" dxfId="100" priority="13" operator="containsText" text="Riego bajo">
      <formula>NOT(ISERROR(SEARCH("Riego bajo",AP21)))</formula>
    </cfRule>
    <cfRule type="containsText" dxfId="99" priority="12" operator="containsText" text="Riesgo bajo">
      <formula>NOT(ISERROR(SEARCH("Riesgo bajo",AP21)))</formula>
    </cfRule>
  </conditionalFormatting>
  <conditionalFormatting sqref="AQ96:AQ107">
    <cfRule type="containsText" dxfId="98" priority="11" operator="containsText" text="Riesgo alto">
      <formula>NOT(ISERROR(SEARCH("Riesgo alto",AQ96)))</formula>
    </cfRule>
    <cfRule type="containsText" dxfId="97" priority="10" operator="containsText" text="Riesgo bajo">
      <formula>NOT(ISERROR(SEARCH("Riesgo bajo",AQ96)))</formula>
    </cfRule>
  </conditionalFormatting>
  <conditionalFormatting sqref="S21:S60">
    <cfRule type="containsText" dxfId="96" priority="9" operator="containsText" text="Puede que no sea vulnerable">
      <formula>NOT(ISERROR(SEARCH("Puede que no sea vulnerable",S21)))</formula>
    </cfRule>
    <cfRule type="containsText" dxfId="95" priority="8" operator="containsText" text="Posiblemente sea vulnerable">
      <formula>NOT(ISERROR(SEARCH("Posiblemente sea vulnerable",S21)))</formula>
    </cfRule>
  </conditionalFormatting>
  <conditionalFormatting sqref="S93:S109">
    <cfRule type="containsText" dxfId="94" priority="7" operator="containsText" text="Puede que no sea vulnerable">
      <formula>NOT(ISERROR(SEARCH("Puede que no sea vulnerable",S93)))</formula>
    </cfRule>
    <cfRule type="containsText" dxfId="93" priority="6" operator="containsText" text="Posiblemente sea vulnerable">
      <formula>NOT(ISERROR(SEARCH("Posiblemente sea vulnerable",S93)))</formula>
    </cfRule>
    <cfRule type="containsText" dxfId="92" priority="5" operator="containsText" text="Puede que no sea vulnerable">
      <formula>NOT(ISERROR(SEARCH("Puede que no sea vulnerable",S93)))</formula>
    </cfRule>
  </conditionalFormatting>
  <conditionalFormatting sqref="AR96:AR107">
    <cfRule type="containsText" dxfId="91" priority="4" operator="containsText" text="Puede que no sea vulnerable">
      <formula>NOT(ISERROR(SEARCH("Puede que no sea vulnerable",AR96)))</formula>
    </cfRule>
    <cfRule type="containsText" dxfId="90" priority="3" operator="containsText" text="Posiblemente sea vulnerable">
      <formula>NOT(ISERROR(SEARCH("Posiblemente sea vulnerable",AR96)))</formula>
    </cfRule>
  </conditionalFormatting>
  <conditionalFormatting sqref="AQ21:AQ43">
    <cfRule type="containsText" dxfId="89" priority="2" operator="containsText" text="Puede que no sea vulnerable">
      <formula>NOT(ISERROR(SEARCH("Puede que no sea vulnerable",AQ21)))</formula>
    </cfRule>
    <cfRule type="containsText" dxfId="88" priority="1" operator="containsText" text="Posiblemente sea vulnerable">
      <formula>NOT(ISERROR(SEARCH("Posiblemente sea vulnerable",AQ21)))</formula>
    </cfRule>
  </conditionalFormatting>
  <pageMargins left="0.7" right="0.7" top="0.75" bottom="0.75" header="0.3" footer="0.3"/>
  <pageSetup orientation="portrait" r:id="rId1"/>
  <drawing r:id="rId2"/>
  <tableParts count="4">
    <tablePart r:id="rId3"/>
    <tablePart r:id="rId4"/>
    <tablePart r:id="rId5"/>
    <tablePart r:id="rId6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7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45"/>
  <sheetViews>
    <sheetView workbookViewId="0">
      <selection activeCell="C2" sqref="C2"/>
    </sheetView>
  </sheetViews>
  <sheetFormatPr baseColWidth="10" defaultRowHeight="12.75" x14ac:dyDescent="0.2"/>
  <cols>
    <col min="1" max="1" width="3.85546875" customWidth="1"/>
    <col min="2" max="2" width="10.5703125" customWidth="1"/>
    <col min="3" max="3" width="8.28515625" customWidth="1"/>
    <col min="4" max="4" width="20.5703125" customWidth="1"/>
  </cols>
  <sheetData>
    <row r="3" spans="2:4" ht="27" customHeight="1" x14ac:dyDescent="0.2">
      <c r="C3" s="4">
        <v>1</v>
      </c>
      <c r="D3" s="9" t="s">
        <v>38</v>
      </c>
    </row>
    <row r="4" spans="2:4" ht="28.5" customHeight="1" x14ac:dyDescent="0.2">
      <c r="C4" s="4">
        <v>2</v>
      </c>
      <c r="D4" s="10" t="s">
        <v>34</v>
      </c>
    </row>
    <row r="5" spans="2:4" ht="31.5" customHeight="1" x14ac:dyDescent="0.2">
      <c r="C5" s="4">
        <v>3</v>
      </c>
      <c r="D5" s="9" t="s">
        <v>19</v>
      </c>
    </row>
    <row r="6" spans="2:4" x14ac:dyDescent="0.2">
      <c r="C6" s="4">
        <v>4</v>
      </c>
      <c r="D6" s="4" t="s">
        <v>46</v>
      </c>
    </row>
    <row r="7" spans="2:4" x14ac:dyDescent="0.2">
      <c r="C7" s="4">
        <v>5</v>
      </c>
      <c r="D7" s="4" t="s">
        <v>47</v>
      </c>
    </row>
    <row r="8" spans="2:4" x14ac:dyDescent="0.2">
      <c r="C8" s="4">
        <v>6</v>
      </c>
      <c r="D8" s="11" t="s">
        <v>39</v>
      </c>
    </row>
    <row r="9" spans="2:4" x14ac:dyDescent="0.2">
      <c r="C9" s="4">
        <v>7</v>
      </c>
      <c r="D9" s="12" t="s">
        <v>48</v>
      </c>
    </row>
    <row r="15" spans="2:4" ht="75.75" customHeight="1" x14ac:dyDescent="0.2">
      <c r="B15" s="8" t="s">
        <v>44</v>
      </c>
      <c r="C15" s="8" t="s">
        <v>45</v>
      </c>
      <c r="D15" s="8" t="s">
        <v>0</v>
      </c>
    </row>
    <row r="16" spans="2:4" x14ac:dyDescent="0.2">
      <c r="B16">
        <v>1</v>
      </c>
      <c r="C16" s="1">
        <v>31</v>
      </c>
      <c r="D16">
        <v>2</v>
      </c>
    </row>
    <row r="17" spans="2:4" x14ac:dyDescent="0.2">
      <c r="B17">
        <v>2</v>
      </c>
      <c r="C17" s="2">
        <v>32</v>
      </c>
      <c r="D17">
        <v>2</v>
      </c>
    </row>
    <row r="18" spans="2:4" x14ac:dyDescent="0.2">
      <c r="B18">
        <v>3</v>
      </c>
      <c r="C18" s="1">
        <v>34</v>
      </c>
      <c r="D18">
        <v>2</v>
      </c>
    </row>
    <row r="19" spans="2:4" x14ac:dyDescent="0.2">
      <c r="B19">
        <v>4</v>
      </c>
      <c r="C19" s="2">
        <v>35</v>
      </c>
      <c r="D19">
        <v>2</v>
      </c>
    </row>
    <row r="20" spans="2:4" x14ac:dyDescent="0.2">
      <c r="B20">
        <v>5</v>
      </c>
      <c r="C20" s="1">
        <v>35</v>
      </c>
      <c r="D20">
        <v>2</v>
      </c>
    </row>
    <row r="21" spans="2:4" x14ac:dyDescent="0.2">
      <c r="B21">
        <v>6</v>
      </c>
      <c r="C21" s="2">
        <v>37</v>
      </c>
      <c r="D21">
        <v>2</v>
      </c>
    </row>
    <row r="22" spans="2:4" x14ac:dyDescent="0.2">
      <c r="B22">
        <v>7</v>
      </c>
      <c r="C22" s="1">
        <v>40</v>
      </c>
      <c r="D22">
        <v>2</v>
      </c>
    </row>
    <row r="23" spans="2:4" x14ac:dyDescent="0.2">
      <c r="B23">
        <v>8</v>
      </c>
      <c r="C23" s="2">
        <v>41</v>
      </c>
      <c r="D23">
        <v>2</v>
      </c>
    </row>
    <row r="24" spans="2:4" x14ac:dyDescent="0.2">
      <c r="B24">
        <v>9</v>
      </c>
      <c r="C24" s="1">
        <v>41</v>
      </c>
      <c r="D24">
        <v>2</v>
      </c>
    </row>
    <row r="25" spans="2:4" x14ac:dyDescent="0.2">
      <c r="B25">
        <v>10</v>
      </c>
      <c r="C25" s="2">
        <v>46</v>
      </c>
      <c r="D25">
        <v>2</v>
      </c>
    </row>
    <row r="26" spans="2:4" x14ac:dyDescent="0.2">
      <c r="B26">
        <v>11</v>
      </c>
      <c r="C26" s="1">
        <v>48</v>
      </c>
      <c r="D26">
        <v>2</v>
      </c>
    </row>
    <row r="27" spans="2:4" x14ac:dyDescent="0.2">
      <c r="B27">
        <v>12</v>
      </c>
      <c r="C27" s="2">
        <v>50</v>
      </c>
      <c r="D27">
        <v>2</v>
      </c>
    </row>
    <row r="28" spans="2:4" x14ac:dyDescent="0.2">
      <c r="B28">
        <v>13</v>
      </c>
      <c r="C28" s="1">
        <v>51</v>
      </c>
      <c r="D28">
        <v>2</v>
      </c>
    </row>
    <row r="29" spans="2:4" x14ac:dyDescent="0.2">
      <c r="B29">
        <v>14</v>
      </c>
      <c r="C29" s="2">
        <v>51</v>
      </c>
      <c r="D29">
        <v>2</v>
      </c>
    </row>
    <row r="30" spans="2:4" x14ac:dyDescent="0.2">
      <c r="B30">
        <v>15</v>
      </c>
      <c r="C30" s="1">
        <v>53</v>
      </c>
      <c r="D30">
        <v>1</v>
      </c>
    </row>
    <row r="31" spans="2:4" x14ac:dyDescent="0.2">
      <c r="B31">
        <v>16</v>
      </c>
      <c r="C31" s="2">
        <v>54</v>
      </c>
      <c r="D31">
        <v>1</v>
      </c>
    </row>
    <row r="32" spans="2:4" x14ac:dyDescent="0.2">
      <c r="B32">
        <v>17</v>
      </c>
      <c r="C32" s="1">
        <v>55</v>
      </c>
      <c r="D32">
        <v>3</v>
      </c>
    </row>
    <row r="33" spans="2:4" x14ac:dyDescent="0.2">
      <c r="B33">
        <v>18</v>
      </c>
      <c r="C33" s="2">
        <v>55</v>
      </c>
      <c r="D33">
        <v>3</v>
      </c>
    </row>
    <row r="34" spans="2:4" x14ac:dyDescent="0.2">
      <c r="B34">
        <v>19</v>
      </c>
      <c r="C34" s="1">
        <v>56</v>
      </c>
      <c r="D34">
        <v>6</v>
      </c>
    </row>
    <row r="35" spans="2:4" x14ac:dyDescent="0.2">
      <c r="B35">
        <v>20</v>
      </c>
      <c r="C35" s="2">
        <v>56</v>
      </c>
      <c r="D35">
        <v>6</v>
      </c>
    </row>
    <row r="36" spans="2:4" x14ac:dyDescent="0.2">
      <c r="B36">
        <v>21</v>
      </c>
      <c r="C36" s="1">
        <v>57</v>
      </c>
      <c r="D36">
        <v>6</v>
      </c>
    </row>
    <row r="37" spans="2:4" x14ac:dyDescent="0.2">
      <c r="B37">
        <v>22</v>
      </c>
      <c r="C37" s="2">
        <v>58</v>
      </c>
      <c r="D37">
        <v>7</v>
      </c>
    </row>
    <row r="38" spans="2:4" x14ac:dyDescent="0.2">
      <c r="B38">
        <v>23</v>
      </c>
      <c r="C38" s="1">
        <v>58</v>
      </c>
      <c r="D38">
        <v>7</v>
      </c>
    </row>
    <row r="39" spans="2:4" x14ac:dyDescent="0.2">
      <c r="B39">
        <v>24</v>
      </c>
      <c r="C39" s="2">
        <v>60</v>
      </c>
      <c r="D39">
        <v>7</v>
      </c>
    </row>
    <row r="40" spans="2:4" x14ac:dyDescent="0.2">
      <c r="B40">
        <v>25</v>
      </c>
      <c r="C40" s="1">
        <v>60</v>
      </c>
      <c r="D40">
        <v>7</v>
      </c>
    </row>
    <row r="41" spans="2:4" x14ac:dyDescent="0.2">
      <c r="B41">
        <v>26</v>
      </c>
      <c r="C41" s="2">
        <v>65</v>
      </c>
      <c r="D41">
        <v>8</v>
      </c>
    </row>
    <row r="42" spans="2:4" x14ac:dyDescent="0.2">
      <c r="B42">
        <v>27</v>
      </c>
      <c r="C42" s="1">
        <v>67</v>
      </c>
      <c r="D42">
        <v>5</v>
      </c>
    </row>
    <row r="43" spans="2:4" x14ac:dyDescent="0.2">
      <c r="B43">
        <v>28</v>
      </c>
      <c r="C43" s="2">
        <v>68</v>
      </c>
      <c r="D43">
        <v>5</v>
      </c>
    </row>
    <row r="44" spans="2:4" x14ac:dyDescent="0.2">
      <c r="B44">
        <v>29</v>
      </c>
      <c r="C44" s="1">
        <v>69</v>
      </c>
      <c r="D44">
        <v>2</v>
      </c>
    </row>
    <row r="45" spans="2:4" x14ac:dyDescent="0.2">
      <c r="B45">
        <v>30</v>
      </c>
      <c r="C45" s="3">
        <v>77</v>
      </c>
      <c r="D45">
        <v>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6" sqref="D16"/>
    </sheetView>
  </sheetViews>
  <sheetFormatPr baseColWidth="10" defaultRowHeight="12.75" x14ac:dyDescent="0.2"/>
  <cols>
    <col min="4" max="4" width="11.42578125" style="13"/>
  </cols>
  <sheetData>
    <row r="1" spans="1:4" x14ac:dyDescent="0.2">
      <c r="B1" s="116" t="s">
        <v>52</v>
      </c>
      <c r="C1" s="116" t="s">
        <v>49</v>
      </c>
      <c r="D1" s="117" t="s">
        <v>50</v>
      </c>
    </row>
    <row r="2" spans="1:4" x14ac:dyDescent="0.2">
      <c r="A2">
        <v>1</v>
      </c>
      <c r="B2" s="9" t="s">
        <v>38</v>
      </c>
      <c r="C2" s="4">
        <f>COUNTIF(Hoja2!$D$16:$D$45,Hoja3!A2)</f>
        <v>2</v>
      </c>
      <c r="D2" s="14">
        <f>C2/$C$10</f>
        <v>6.6666666666666666E-2</v>
      </c>
    </row>
    <row r="3" spans="1:4" x14ac:dyDescent="0.2">
      <c r="A3">
        <v>2</v>
      </c>
      <c r="B3" s="10" t="s">
        <v>34</v>
      </c>
      <c r="C3" s="4">
        <f>COUNTIF(Hoja2!$D$16:$D$45,Hoja3!A3)</f>
        <v>15</v>
      </c>
      <c r="D3" s="14">
        <f t="shared" ref="D3:D9" si="0">C3/$C$10</f>
        <v>0.5</v>
      </c>
    </row>
    <row r="4" spans="1:4" x14ac:dyDescent="0.2">
      <c r="A4">
        <v>3</v>
      </c>
      <c r="B4" s="9" t="s">
        <v>19</v>
      </c>
      <c r="C4" s="4">
        <f>COUNTIF(Hoja2!$D$16:$D$45,Hoja3!A4)</f>
        <v>3</v>
      </c>
      <c r="D4" s="14">
        <f t="shared" si="0"/>
        <v>0.1</v>
      </c>
    </row>
    <row r="5" spans="1:4" x14ac:dyDescent="0.2">
      <c r="A5">
        <v>4</v>
      </c>
      <c r="B5" s="11" t="s">
        <v>46</v>
      </c>
      <c r="C5" s="4">
        <f>COUNTIF(Hoja2!$D$16:$D$45,Hoja3!A5)</f>
        <v>0</v>
      </c>
      <c r="D5" s="14">
        <f t="shared" si="0"/>
        <v>0</v>
      </c>
    </row>
    <row r="6" spans="1:4" x14ac:dyDescent="0.2">
      <c r="A6">
        <v>5</v>
      </c>
      <c r="B6" s="4" t="s">
        <v>47</v>
      </c>
      <c r="C6" s="4">
        <f>COUNTIF(Hoja2!$D$16:$D$45,Hoja3!A6)</f>
        <v>2</v>
      </c>
      <c r="D6" s="14">
        <f t="shared" si="0"/>
        <v>6.6666666666666666E-2</v>
      </c>
    </row>
    <row r="7" spans="1:4" x14ac:dyDescent="0.2">
      <c r="A7">
        <v>6</v>
      </c>
      <c r="B7" s="11" t="s">
        <v>39</v>
      </c>
      <c r="C7" s="4">
        <f>COUNTIF(Hoja2!$D$16:$D$45,Hoja3!A7)</f>
        <v>3</v>
      </c>
      <c r="D7" s="14">
        <f t="shared" si="0"/>
        <v>0.1</v>
      </c>
    </row>
    <row r="8" spans="1:4" x14ac:dyDescent="0.2">
      <c r="A8">
        <v>7</v>
      </c>
      <c r="B8" s="12" t="s">
        <v>48</v>
      </c>
      <c r="C8" s="4">
        <f>COUNTIF(Hoja2!$D$16:$D$45,Hoja3!A8)</f>
        <v>4</v>
      </c>
      <c r="D8" s="14">
        <f t="shared" si="0"/>
        <v>0.13333333333333333</v>
      </c>
    </row>
    <row r="9" spans="1:4" x14ac:dyDescent="0.2">
      <c r="A9">
        <v>8</v>
      </c>
      <c r="B9" s="12" t="s">
        <v>51</v>
      </c>
      <c r="C9" s="4">
        <f>COUNTIF(Hoja2!$D$16:$D$45,Hoja3!A9)</f>
        <v>1</v>
      </c>
      <c r="D9" s="14">
        <f t="shared" si="0"/>
        <v>3.3333333333333333E-2</v>
      </c>
    </row>
    <row r="10" spans="1:4" x14ac:dyDescent="0.2">
      <c r="B10" s="118" t="s">
        <v>43</v>
      </c>
      <c r="C10" s="119">
        <f>SUM(C2:C9)</f>
        <v>30</v>
      </c>
      <c r="D10" s="120">
        <f>SUM(D2:D9)</f>
        <v>0.99999999999999989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</dc:creator>
  <cp:lastModifiedBy>EQUIPO</cp:lastModifiedBy>
  <dcterms:created xsi:type="dcterms:W3CDTF">2025-07-02T21:09:29Z</dcterms:created>
  <dcterms:modified xsi:type="dcterms:W3CDTF">2025-07-14T02:43:21Z</dcterms:modified>
</cp:coreProperties>
</file>