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2016\FI\IP\TPs\"/>
    </mc:Choice>
  </mc:AlternateContent>
  <bookViews>
    <workbookView xWindow="-15" yWindow="-15" windowWidth="16605" windowHeight="5565" tabRatio="766"/>
  </bookViews>
  <sheets>
    <sheet name="Tabla de corrientes" sheetId="113" r:id="rId1"/>
    <sheet name="Tabla de equipos" sheetId="108" r:id="rId2"/>
    <sheet name="DataTable" sheetId="13" r:id="rId3"/>
    <sheet name="Solubilidad" sheetId="9" r:id="rId4"/>
  </sheets>
  <definedNames>
    <definedName name="kg_m2xdía">#REF!</definedName>
    <definedName name="solver_adj" localSheetId="0" hidden="1">'Tabla de corrientes'!#REF!,'Tabla de corrientes'!#REF!,'Tabla de corrientes'!#REF!,'Tabla de corrientes'!#REF!</definedName>
    <definedName name="solver_adj" localSheetId="1" hidden="1">'Tabla de equipos'!#REF!</definedName>
    <definedName name="solver_cvg" localSheetId="0" hidden="1">0.0001</definedName>
    <definedName name="solver_cvg" localSheetId="1" hidden="1">0.0001</definedName>
    <definedName name="solver_drv" localSheetId="0" hidden="1">2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2147483647</definedName>
    <definedName name="solver_lhs1" localSheetId="0" hidden="1">'Tabla de corrientes'!#REF!</definedName>
    <definedName name="solver_lhs1" localSheetId="1" hidden="1">'Tabla de equipos'!#REF!</definedName>
    <definedName name="solver_lhs2" localSheetId="0" hidden="1">'Tabla de corrientes'!#REF!</definedName>
    <definedName name="solver_lhs2" localSheetId="1" hidden="1">'Tabla de equipos'!#REF!</definedName>
    <definedName name="solver_lhs3" localSheetId="0" hidden="1">'Tabla de corrientes'!#REF!</definedName>
    <definedName name="solver_lhs3" localSheetId="1" hidden="1">'Tabla de equipos'!#REF!</definedName>
    <definedName name="solver_lhs4" localSheetId="0" hidden="1">'Tabla de corrientes'!#REF!</definedName>
    <definedName name="solver_lhs4" localSheetId="1" hidden="1">'Tabla de equipos'!#REF!</definedName>
    <definedName name="solver_lin" localSheetId="0" hidden="1">2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2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4</definedName>
    <definedName name="solver_num" localSheetId="1" hidden="1">4</definedName>
    <definedName name="solver_nwt" localSheetId="0" hidden="1">1</definedName>
    <definedName name="solver_nwt" localSheetId="1" hidden="1">1</definedName>
    <definedName name="solver_opt" localSheetId="0" hidden="1">'Tabla de corrientes'!#REF!</definedName>
    <definedName name="solver_opt" localSheetId="1" hidden="1">'Tabla de equipos'!#REF!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2</definedName>
    <definedName name="solver_rel1" localSheetId="0" hidden="1">2</definedName>
    <definedName name="solver_rel1" localSheetId="1" hidden="1">2</definedName>
    <definedName name="solver_rel2" localSheetId="0" hidden="1">2</definedName>
    <definedName name="solver_rel2" localSheetId="1" hidden="1">2</definedName>
    <definedName name="solver_rel3" localSheetId="0" hidden="1">2</definedName>
    <definedName name="solver_rel3" localSheetId="1" hidden="1">2</definedName>
    <definedName name="solver_rel4" localSheetId="0" hidden="1">2</definedName>
    <definedName name="solver_rel4" localSheetId="1" hidden="1">2</definedName>
    <definedName name="solver_rhs1" localSheetId="0" hidden="1">0</definedName>
    <definedName name="solver_rhs1" localSheetId="1" hidden="1">'Tabla de equipos'!#REF!</definedName>
    <definedName name="solver_rhs2" localSheetId="0" hidden="1">0</definedName>
    <definedName name="solver_rhs2" localSheetId="1" hidden="1">'Tabla de equipos'!#REF!</definedName>
    <definedName name="solver_rhs3" localSheetId="0" hidden="1">0</definedName>
    <definedName name="solver_rhs3" localSheetId="1" hidden="1">'Tabla de equipos'!#REF!</definedName>
    <definedName name="solver_rhs4" localSheetId="0" hidden="1">0</definedName>
    <definedName name="solver_rhs4" localSheetId="1" hidden="1">3</definedName>
    <definedName name="solver_rlx" localSheetId="0" hidden="1">1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100</definedName>
    <definedName name="solver_tim" localSheetId="1" hidden="1">2147483647</definedName>
    <definedName name="solver_tol" localSheetId="0" hidden="1">0.05</definedName>
    <definedName name="solver_tol" localSheetId="1" hidden="1">0.01</definedName>
    <definedName name="solver_typ" localSheetId="0" hidden="1">3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B43" i="113" l="1"/>
  <c r="B42" i="113"/>
  <c r="B26" i="113"/>
  <c r="B25" i="113"/>
  <c r="B24" i="113"/>
  <c r="B23" i="113"/>
  <c r="B22" i="113"/>
  <c r="B21" i="113"/>
  <c r="B20" i="113"/>
  <c r="B19" i="113"/>
  <c r="G2" i="113"/>
  <c r="H2" i="113"/>
  <c r="I2" i="113" s="1"/>
  <c r="J2" i="113" s="1"/>
  <c r="K2" i="113" s="1"/>
  <c r="M2" i="113" s="1"/>
  <c r="N2" i="113" s="1"/>
  <c r="O2" i="113" s="1"/>
  <c r="P2" i="113" s="1"/>
  <c r="C78" i="13"/>
  <c r="C70" i="13"/>
  <c r="C62" i="13"/>
  <c r="C63" i="13"/>
  <c r="C64" i="13"/>
  <c r="C65" i="13"/>
  <c r="C66" i="13"/>
  <c r="C80" i="13" s="1"/>
  <c r="B12" i="113"/>
  <c r="C67" i="13"/>
  <c r="C68" i="13"/>
  <c r="C69" i="13"/>
  <c r="C71" i="13"/>
  <c r="C72" i="13"/>
  <c r="C73" i="13"/>
  <c r="C74" i="13"/>
  <c r="C75" i="13"/>
  <c r="C76" i="13"/>
  <c r="C77" i="13"/>
  <c r="C79" i="13"/>
  <c r="C81" i="13"/>
  <c r="C82" i="13"/>
  <c r="C83" i="13"/>
  <c r="B13" i="113" s="1"/>
  <c r="C84" i="13"/>
  <c r="D84" i="13"/>
  <c r="E84" i="13"/>
  <c r="C85" i="13"/>
  <c r="D85" i="13"/>
  <c r="E85" i="13"/>
  <c r="C86" i="13"/>
  <c r="C87" i="13"/>
  <c r="D87" i="13"/>
  <c r="E87" i="13"/>
  <c r="C88" i="13"/>
  <c r="C89" i="13"/>
  <c r="D89" i="13"/>
  <c r="E89" i="13"/>
  <c r="C90" i="13"/>
  <c r="D90" i="13"/>
  <c r="E90" i="13"/>
  <c r="C91" i="13"/>
  <c r="C92" i="13"/>
  <c r="D92" i="13"/>
  <c r="E92" i="13"/>
  <c r="C93" i="13"/>
  <c r="D93" i="13"/>
  <c r="E93" i="13"/>
  <c r="C94" i="13"/>
  <c r="B44" i="113" s="1"/>
  <c r="C95" i="13"/>
  <c r="C96" i="13"/>
  <c r="D96" i="13"/>
  <c r="E96" i="13"/>
  <c r="C97" i="13"/>
  <c r="C98" i="13"/>
  <c r="C99" i="13"/>
  <c r="C100" i="13"/>
  <c r="C101" i="13"/>
  <c r="D101" i="13"/>
  <c r="E101" i="13"/>
  <c r="C102" i="13"/>
  <c r="D102" i="13"/>
  <c r="E102" i="13"/>
  <c r="C103" i="13"/>
  <c r="C104" i="13"/>
  <c r="D104" i="13"/>
  <c r="E104" i="13"/>
  <c r="C105" i="13"/>
  <c r="C106" i="13"/>
  <c r="D106" i="13"/>
  <c r="C107" i="13"/>
  <c r="D107" i="13"/>
  <c r="C108" i="13"/>
  <c r="C109" i="13"/>
  <c r="C110" i="13"/>
  <c r="C111" i="13"/>
  <c r="C112" i="13"/>
  <c r="C113" i="13"/>
  <c r="C114" i="13"/>
  <c r="C115" i="13"/>
  <c r="C116" i="13"/>
  <c r="D116" i="13"/>
  <c r="E116" i="13"/>
  <c r="C117" i="13"/>
  <c r="C118" i="13"/>
  <c r="C119" i="13"/>
  <c r="C120" i="13"/>
  <c r="C121" i="13"/>
  <c r="C122" i="13"/>
  <c r="D122" i="13"/>
  <c r="E122" i="13"/>
  <c r="C123" i="13"/>
  <c r="D123" i="13"/>
  <c r="C124" i="13"/>
  <c r="B14" i="113"/>
  <c r="D124" i="13"/>
  <c r="E124" i="13"/>
  <c r="C125" i="13"/>
  <c r="D125" i="13"/>
  <c r="E125" i="13"/>
  <c r="C126" i="13"/>
  <c r="C127" i="13"/>
  <c r="D127" i="13"/>
  <c r="E127" i="13"/>
  <c r="C128" i="13"/>
  <c r="B15" i="113" s="1"/>
  <c r="C129" i="13"/>
  <c r="B16" i="113" s="1"/>
  <c r="C130" i="13"/>
  <c r="C131" i="13"/>
  <c r="C132" i="13"/>
  <c r="C133" i="13"/>
  <c r="C134" i="13"/>
  <c r="B17" i="113"/>
  <c r="C135" i="13"/>
  <c r="C136" i="13"/>
  <c r="D136" i="13"/>
  <c r="C137" i="13"/>
  <c r="D137" i="13"/>
  <c r="E137" i="13"/>
  <c r="C138" i="13"/>
  <c r="C139" i="13"/>
  <c r="D139" i="13"/>
  <c r="E139" i="13"/>
  <c r="C140" i="13"/>
  <c r="C141" i="13"/>
  <c r="C142" i="13"/>
  <c r="D142" i="13"/>
  <c r="E142" i="13"/>
  <c r="C143" i="13"/>
  <c r="D143" i="13"/>
  <c r="E143" i="13"/>
  <c r="B27" i="113" l="1"/>
</calcChain>
</file>

<file path=xl/comments1.xml><?xml version="1.0" encoding="utf-8"?>
<comments xmlns="http://schemas.openxmlformats.org/spreadsheetml/2006/main">
  <authors>
    <author>DH</author>
  </authors>
  <commentList>
    <comment ref="A27" authorId="0" shapeId="0">
      <text>
        <r>
          <rPr>
            <b/>
            <sz val="9"/>
            <color indexed="81"/>
            <rFont val="Tahoma"/>
            <family val="2"/>
          </rPr>
          <t>DH:</t>
        </r>
        <r>
          <rPr>
            <sz val="9"/>
            <color indexed="81"/>
            <rFont val="Tahoma"/>
            <family val="2"/>
          </rPr>
          <t xml:space="preserve">
Se refiere a g/100 g de solución. Fuente: Seidel</t>
        </r>
      </text>
    </comment>
  </commentList>
</comments>
</file>

<file path=xl/sharedStrings.xml><?xml version="1.0" encoding="utf-8"?>
<sst xmlns="http://schemas.openxmlformats.org/spreadsheetml/2006/main" count="386" uniqueCount="278">
  <si>
    <t>C</t>
  </si>
  <si>
    <t>Temperature (ºC)</t>
  </si>
  <si>
    <t>N</t>
  </si>
  <si>
    <t>pH</t>
  </si>
  <si>
    <r>
      <t>Li</t>
    </r>
    <r>
      <rPr>
        <vertAlign val="superscript"/>
        <sz val="10"/>
        <rFont val="Arial"/>
        <family val="2"/>
      </rPr>
      <t>+</t>
    </r>
  </si>
  <si>
    <r>
      <t>Ca</t>
    </r>
    <r>
      <rPr>
        <vertAlign val="superscript"/>
        <sz val="10"/>
        <rFont val="Arial"/>
        <family val="2"/>
      </rPr>
      <t>+2</t>
    </r>
  </si>
  <si>
    <r>
      <t>Mg</t>
    </r>
    <r>
      <rPr>
        <vertAlign val="superscript"/>
        <sz val="10"/>
        <rFont val="Arial"/>
        <family val="2"/>
      </rPr>
      <t>+2</t>
    </r>
  </si>
  <si>
    <t>CaO</t>
  </si>
  <si>
    <t>Ca(OH)2</t>
  </si>
  <si>
    <t>SO4=</t>
  </si>
  <si>
    <t>Na2SO4</t>
  </si>
  <si>
    <t>O</t>
  </si>
  <si>
    <t>S</t>
  </si>
  <si>
    <t>Sodium hydroxide</t>
  </si>
  <si>
    <t>Na2SO4.10H2O</t>
  </si>
  <si>
    <t>MgCl2</t>
  </si>
  <si>
    <t>MgSO4</t>
  </si>
  <si>
    <t>Mg(OH)2</t>
  </si>
  <si>
    <t>CaCl2</t>
  </si>
  <si>
    <t>CaSO4</t>
  </si>
  <si>
    <t>Nº</t>
  </si>
  <si>
    <t>Componente</t>
  </si>
  <si>
    <t>KCl</t>
  </si>
  <si>
    <t>NaCl</t>
  </si>
  <si>
    <t>LiCl</t>
  </si>
  <si>
    <t>NaHCO3</t>
  </si>
  <si>
    <t>CaCO3</t>
  </si>
  <si>
    <t>CO2</t>
  </si>
  <si>
    <t>Na2CO3</t>
  </si>
  <si>
    <t>H2</t>
  </si>
  <si>
    <t>O2</t>
  </si>
  <si>
    <t>Cl2</t>
  </si>
  <si>
    <t>LiOH</t>
  </si>
  <si>
    <t>CaS</t>
  </si>
  <si>
    <t>B</t>
  </si>
  <si>
    <t>NaOH</t>
  </si>
  <si>
    <t>H2SO4</t>
  </si>
  <si>
    <t>Na2B4O7.10H2O</t>
  </si>
  <si>
    <t>Na2B4O7</t>
  </si>
  <si>
    <t>Solubility</t>
  </si>
  <si>
    <t>Compound</t>
  </si>
  <si>
    <t>Formula</t>
  </si>
  <si>
    <t>Kps</t>
  </si>
  <si>
    <t>Lithium carbonate</t>
  </si>
  <si>
    <t>Li2CO3</t>
  </si>
  <si>
    <t>Lithium chloride</t>
  </si>
  <si>
    <t>Lithium hydroxide</t>
  </si>
  <si>
    <t>Magnesium chloride</t>
  </si>
  <si>
    <t>Magnesium hydroxide</t>
  </si>
  <si>
    <t>Magnesium sulfate</t>
  </si>
  <si>
    <t>Boric acid</t>
  </si>
  <si>
    <t>H3BO3</t>
  </si>
  <si>
    <t>Calcium bicarbonate</t>
  </si>
  <si>
    <t>Ca(HCO3)2</t>
  </si>
  <si>
    <t>Calcium chloride</t>
  </si>
  <si>
    <t>Calcium hydroxide</t>
  </si>
  <si>
    <t>Calcium sulfate</t>
  </si>
  <si>
    <t>Potassium chloride</t>
  </si>
  <si>
    <t>Sodium bicarbonate</t>
  </si>
  <si>
    <t>Sodium borate (borax)</t>
  </si>
  <si>
    <t>Sodium carbonate</t>
  </si>
  <si>
    <t>Sodium chloride</t>
  </si>
  <si>
    <t>Sodium sulphate</t>
  </si>
  <si>
    <t>Masas molares de las sustancias utilizadas</t>
  </si>
  <si>
    <t>Component</t>
  </si>
  <si>
    <t>M = [g/mol]</t>
  </si>
  <si>
    <t>Fe</t>
  </si>
  <si>
    <t>Br</t>
  </si>
  <si>
    <t>I</t>
  </si>
  <si>
    <t>Li2SO4</t>
  </si>
  <si>
    <t>N2</t>
  </si>
  <si>
    <t>CH4</t>
  </si>
  <si>
    <t>C2H6</t>
  </si>
  <si>
    <t>CO</t>
  </si>
  <si>
    <t>CO3=</t>
  </si>
  <si>
    <t>HCO3-</t>
  </si>
  <si>
    <t>B2O3</t>
  </si>
  <si>
    <t>MgO</t>
  </si>
  <si>
    <t>K2O</t>
  </si>
  <si>
    <t>Descripción</t>
  </si>
  <si>
    <t>Unidad</t>
  </si>
  <si>
    <t>Inertes</t>
  </si>
  <si>
    <t>%</t>
  </si>
  <si>
    <t>MgCO3</t>
  </si>
  <si>
    <t>SiO2</t>
  </si>
  <si>
    <t>Fe2O3</t>
  </si>
  <si>
    <t>Al2O3</t>
  </si>
  <si>
    <t>Si</t>
  </si>
  <si>
    <t>Al</t>
  </si>
  <si>
    <t>Li</t>
  </si>
  <si>
    <t>m3</t>
  </si>
  <si>
    <t>Propiedades</t>
  </si>
  <si>
    <t>L</t>
  </si>
  <si>
    <t>Lithium sulphate</t>
  </si>
  <si>
    <t>Calcium carbonate</t>
  </si>
  <si>
    <t>Magnesium carbonate</t>
  </si>
  <si>
    <t>Temperatura</t>
  </si>
  <si>
    <t>CaB4O7</t>
  </si>
  <si>
    <t>DGf</t>
  </si>
  <si>
    <t>DHf(kJ/mol)</t>
  </si>
  <si>
    <t>H2O (l)</t>
  </si>
  <si>
    <t>HCl (g)</t>
  </si>
  <si>
    <t>HCl (ac)</t>
  </si>
  <si>
    <t>LiClO</t>
  </si>
  <si>
    <t>Na2S</t>
  </si>
  <si>
    <t>SO2</t>
  </si>
  <si>
    <t>Na2S2O5</t>
  </si>
  <si>
    <t>Na2O.2CaO.5B2O3.16H2O</t>
  </si>
  <si>
    <t>K2SO4</t>
  </si>
  <si>
    <t>KCl.MgCl2.6H2O</t>
  </si>
  <si>
    <t>KNO3</t>
  </si>
  <si>
    <t>Li2SO4.H2O</t>
  </si>
  <si>
    <t>Estate</t>
  </si>
  <si>
    <t>at 25ºC</t>
  </si>
  <si>
    <t>c</t>
  </si>
  <si>
    <t>MgCl2.6H2O</t>
  </si>
  <si>
    <t>CaSO4.2H2O</t>
  </si>
  <si>
    <t>CaSO4.1/2H2O</t>
  </si>
  <si>
    <t>c, corumdum</t>
  </si>
  <si>
    <t>c, cuarzo</t>
  </si>
  <si>
    <t>ac</t>
  </si>
  <si>
    <t>g</t>
  </si>
  <si>
    <t>NH3</t>
  </si>
  <si>
    <t>NH4Cl</t>
  </si>
  <si>
    <r>
      <t>Na</t>
    </r>
    <r>
      <rPr>
        <vertAlign val="superscript"/>
        <sz val="10"/>
        <rFont val="Arial"/>
        <family val="2"/>
      </rPr>
      <t>+</t>
    </r>
  </si>
  <si>
    <r>
      <t>K</t>
    </r>
    <r>
      <rPr>
        <vertAlign val="superscript"/>
        <sz val="10"/>
        <rFont val="Arial"/>
        <family val="2"/>
      </rPr>
      <t>+</t>
    </r>
  </si>
  <si>
    <r>
      <t>CO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=</t>
    </r>
  </si>
  <si>
    <t>ºC</t>
  </si>
  <si>
    <t>B4O7=</t>
  </si>
  <si>
    <t>Estado físico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</si>
  <si>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</si>
  <si>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kg/cm2</t>
  </si>
  <si>
    <t>NaHCO3.Na2CO3.2H2O</t>
  </si>
  <si>
    <t>OH-</t>
  </si>
  <si>
    <t>Ammonium bicarbonate</t>
  </si>
  <si>
    <t>Ammonium chloride</t>
  </si>
  <si>
    <t>Ammonium sulphate</t>
  </si>
  <si>
    <t>NH4HCO3</t>
  </si>
  <si>
    <t>(NH4)2SO4</t>
  </si>
  <si>
    <t>descomp.</t>
  </si>
  <si>
    <t>NH4+</t>
  </si>
  <si>
    <t>(NH4)2CO3</t>
  </si>
  <si>
    <t>C3H8</t>
  </si>
  <si>
    <t>NH4OH</t>
  </si>
  <si>
    <t>H</t>
  </si>
  <si>
    <t>He</t>
  </si>
  <si>
    <t>Be</t>
  </si>
  <si>
    <t>F</t>
  </si>
  <si>
    <t>Ne</t>
  </si>
  <si>
    <t>Na</t>
  </si>
  <si>
    <t>Mg</t>
  </si>
  <si>
    <t>P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</si>
  <si>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</si>
  <si>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</si>
  <si>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</si>
  <si>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</si>
  <si>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</si>
  <si>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</si>
  <si>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</si>
  <si>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</si>
  <si>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</si>
  <si>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Co</t>
  </si>
  <si>
    <t>Ni</t>
  </si>
  <si>
    <t>Cu</t>
  </si>
  <si>
    <t>Zn</t>
  </si>
  <si>
    <t>Ga</t>
  </si>
  <si>
    <t>Ge</t>
  </si>
  <si>
    <t>As</t>
  </si>
  <si>
    <t>Se</t>
  </si>
  <si>
    <t>Kr</t>
  </si>
  <si>
    <t>Rb</t>
  </si>
  <si>
    <t>Sr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</si>
  <si>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</si>
  <si>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</si>
  <si>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</si>
  <si>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</si>
  <si>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</si>
  <si>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</si>
  <si>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</si>
  <si>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</si>
  <si>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</si>
  <si>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</si>
  <si>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</si>
  <si>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</si>
  <si>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</si>
  <si>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</si>
  <si>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Xe</t>
  </si>
  <si>
    <t>Cs</t>
  </si>
  <si>
    <t>Ba</t>
  </si>
  <si>
    <t>Na2O</t>
  </si>
  <si>
    <t>3Na2O.4B2O3</t>
  </si>
  <si>
    <t>LiHCO3</t>
  </si>
  <si>
    <t>CaCl2.2H2O</t>
  </si>
  <si>
    <t>Na2CO3.H2O</t>
  </si>
  <si>
    <t>SrCl2</t>
  </si>
  <si>
    <t>SrCO3</t>
  </si>
  <si>
    <t>Mg(HCO3)2</t>
  </si>
  <si>
    <t>G</t>
  </si>
  <si>
    <t>Presión</t>
  </si>
  <si>
    <t>Flujo volumétrico</t>
  </si>
  <si>
    <t>Flujo másico</t>
  </si>
  <si>
    <t>Flujo molar</t>
  </si>
  <si>
    <t>PM</t>
  </si>
  <si>
    <t>kg/l</t>
  </si>
  <si>
    <t>kg/m3</t>
  </si>
  <si>
    <t>Densidad</t>
  </si>
  <si>
    <t>Viscosidad</t>
  </si>
  <si>
    <t>cP</t>
  </si>
  <si>
    <t>Conductividad</t>
  </si>
  <si>
    <t>Porosidad</t>
  </si>
  <si>
    <t>mS/cm</t>
  </si>
  <si>
    <t>%v/v</t>
  </si>
  <si>
    <t>%g/g</t>
  </si>
  <si>
    <t>tpa</t>
  </si>
  <si>
    <t>m3/año</t>
  </si>
  <si>
    <t>Unit</t>
  </si>
  <si>
    <t>g/g</t>
  </si>
  <si>
    <t>Pureza</t>
  </si>
  <si>
    <t>t</t>
  </si>
  <si>
    <t>STD</t>
  </si>
  <si>
    <t>kg/L</t>
  </si>
  <si>
    <t>Temperature</t>
  </si>
  <si>
    <t>Pressure</t>
  </si>
  <si>
    <t>min</t>
  </si>
  <si>
    <t>g/L</t>
  </si>
  <si>
    <t>HBr</t>
  </si>
  <si>
    <t>LiBr</t>
  </si>
  <si>
    <t>Lithium bromide</t>
  </si>
  <si>
    <t>LiBr.H2O</t>
  </si>
  <si>
    <t>Lithium fluoride</t>
  </si>
  <si>
    <t>LiF</t>
  </si>
  <si>
    <t>Lithium iodide</t>
  </si>
  <si>
    <t>LiI</t>
  </si>
  <si>
    <t>Lithium nitrate</t>
  </si>
  <si>
    <t>LiNO3</t>
  </si>
  <si>
    <t>LiOH.H2O</t>
  </si>
  <si>
    <t>MgSO4.7H2O</t>
  </si>
  <si>
    <t>Potassium sulfate</t>
  </si>
  <si>
    <t>DHDisolución</t>
  </si>
  <si>
    <t>kcal/mol</t>
  </si>
  <si>
    <t>Molar Flow</t>
  </si>
  <si>
    <t>molt</t>
  </si>
  <si>
    <t>Calcium oxalate</t>
  </si>
  <si>
    <t>CaC2O4</t>
  </si>
  <si>
    <t>Orientación</t>
  </si>
  <si>
    <t>Mat. De Construc.</t>
  </si>
  <si>
    <t>V-101</t>
  </si>
  <si>
    <t>Vessel&amp;Reactor</t>
  </si>
  <si>
    <t>V-102</t>
  </si>
  <si>
    <t>R-101</t>
  </si>
  <si>
    <t>R-102</t>
  </si>
  <si>
    <t>Th-101</t>
  </si>
  <si>
    <t>Th-102</t>
  </si>
  <si>
    <t>TK-106</t>
  </si>
  <si>
    <t>TK-105</t>
  </si>
  <si>
    <t>m3/h</t>
  </si>
  <si>
    <t>m</t>
  </si>
  <si>
    <t>L/D</t>
  </si>
  <si>
    <t>Altura</t>
  </si>
  <si>
    <t>Diámetro</t>
  </si>
  <si>
    <t>in</t>
  </si>
  <si>
    <t>Agitación</t>
  </si>
  <si>
    <t>hp</t>
  </si>
  <si>
    <t>Factor</t>
  </si>
  <si>
    <t>Exceso 1</t>
  </si>
  <si>
    <t>Proveedor</t>
  </si>
  <si>
    <t>Código</t>
  </si>
  <si>
    <t>Tiempo de residencia</t>
  </si>
  <si>
    <t>Caudal</t>
  </si>
  <si>
    <t>Nº de equipos</t>
  </si>
  <si>
    <t>Capacidad</t>
  </si>
  <si>
    <t>Volumen útil</t>
  </si>
  <si>
    <t>Homogeneizador</t>
  </si>
  <si>
    <t>1. Tabla de equipos</t>
  </si>
  <si>
    <t>Agua</t>
  </si>
  <si>
    <t>Humedad (Base Húmeda)</t>
  </si>
  <si>
    <t>Recuperación (Li)</t>
  </si>
  <si>
    <t>Tabla de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</si>
</sst>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0.000"/>
    <numFmt numFmtId="165" formatCode="0.0000"/>
    <numFmt numFmtId="166" formatCode="0.00000"/>
    <numFmt numFmtId="167" formatCode="_ [$€-2]\ * #,##0.00_ ;_ [$€-2]\ * \-#,##0.00_ ;_ [$€-2]\ * &quot;-&quot;??_ "/>
    <numFmt numFmtId="168" formatCode="#,##0.0"/>
    <numFmt numFmtId="169" formatCode="#,##0.000"/>
    <numFmt numFmtId="170" formatCode="#,##0.0000"/>
    <numFmt numFmtId="171" formatCode="#,##0.0_0%;[Red]&quot;-&quot;#,##0.0_0%;&quot;-&quot;_0_0_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mbria"/>
      <family val="2"/>
      <scheme val="minor"/>
    </font>
    <font>
      <sz val="11"/>
      <color rgb="FF006100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3F3F76"/>
      <name val="Cambria"/>
      <family val="2"/>
      <scheme val="minor"/>
    </font>
    <font>
      <sz val="10"/>
      <color theme="1"/>
      <name val="Arial"/>
      <family val="2"/>
    </font>
    <font>
      <sz val="11"/>
      <color rgb="FFFF0000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0"/>
      <color theme="3"/>
      <name val="Arial"/>
      <family val="2"/>
    </font>
    <font>
      <b/>
      <sz val="11"/>
      <color rgb="FFFF0000"/>
      <name val="Arial"/>
      <family val="2"/>
    </font>
    <font>
      <b/>
      <sz val="10"/>
      <color theme="3"/>
      <name val="Arial"/>
      <family val="2"/>
    </font>
    <font>
      <sz val="11"/>
      <name val="Cambria"/>
      <family val="2"/>
      <scheme val="minor"/>
    </font>
    <font>
      <b/>
      <sz val="12"/>
      <color theme="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medium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/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</borders>
  <cellStyleXfs count="18">
    <xf numFmtId="0" fontId="0" fillId="0" borderId="0"/>
    <xf numFmtId="0" fontId="12" fillId="5" borderId="0" applyNumberFormat="0" applyBorder="0" applyAlignment="0" applyProtection="0"/>
    <xf numFmtId="0" fontId="13" fillId="6" borderId="66" applyNumberFormat="0" applyAlignment="0" applyProtection="0"/>
    <xf numFmtId="0" fontId="14" fillId="7" borderId="66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1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171" fontId="1" fillId="0" borderId="0" applyFont="0" applyFill="0" applyBorder="0" applyProtection="0">
      <alignment vertical="center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08">
    <xf numFmtId="0" fontId="0" fillId="0" borderId="0" xfId="0"/>
    <xf numFmtId="0" fontId="0" fillId="0" borderId="0" xfId="0" applyAlignment="1"/>
    <xf numFmtId="0" fontId="5" fillId="0" borderId="1" xfId="0" applyFont="1" applyBorder="1" applyAlignment="1">
      <alignment horizontal="left"/>
    </xf>
    <xf numFmtId="0" fontId="7" fillId="0" borderId="0" xfId="0" applyFont="1"/>
    <xf numFmtId="165" fontId="0" fillId="0" borderId="0" xfId="0" applyNumberFormat="1"/>
    <xf numFmtId="0" fontId="1" fillId="0" borderId="0" xfId="0" applyFont="1" applyBorder="1"/>
    <xf numFmtId="0" fontId="18" fillId="0" borderId="2" xfId="0" applyFont="1" applyBorder="1" applyAlignment="1"/>
    <xf numFmtId="0" fontId="18" fillId="0" borderId="3" xfId="0" applyFont="1" applyBorder="1" applyAlignment="1"/>
    <xf numFmtId="0" fontId="18" fillId="0" borderId="4" xfId="0" applyFont="1" applyBorder="1"/>
    <xf numFmtId="0" fontId="18" fillId="0" borderId="5" xfId="0" applyFont="1" applyBorder="1"/>
    <xf numFmtId="0" fontId="18" fillId="0" borderId="3" xfId="0" applyFont="1" applyBorder="1"/>
    <xf numFmtId="0" fontId="18" fillId="0" borderId="0" xfId="0" applyFont="1"/>
    <xf numFmtId="0" fontId="18" fillId="0" borderId="1" xfId="0" applyFont="1" applyBorder="1"/>
    <xf numFmtId="11" fontId="18" fillId="0" borderId="3" xfId="0" applyNumberFormat="1" applyFont="1" applyBorder="1"/>
    <xf numFmtId="0" fontId="18" fillId="0" borderId="6" xfId="0" applyFont="1" applyBorder="1"/>
    <xf numFmtId="0" fontId="18" fillId="0" borderId="7" xfId="0" applyFont="1" applyBorder="1"/>
    <xf numFmtId="0" fontId="18" fillId="0" borderId="8" xfId="0" applyFont="1" applyBorder="1"/>
    <xf numFmtId="0" fontId="18" fillId="0" borderId="9" xfId="0" applyFont="1" applyBorder="1"/>
    <xf numFmtId="0" fontId="5" fillId="0" borderId="0" xfId="0" applyFont="1" applyBorder="1"/>
    <xf numFmtId="0" fontId="19" fillId="0" borderId="0" xfId="0" applyFo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16" xfId="0" applyFont="1" applyBorder="1" applyAlignment="1">
      <alignment horizontal="left"/>
    </xf>
    <xf numFmtId="0" fontId="0" fillId="0" borderId="3" xfId="0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17" xfId="0" applyFont="1" applyBorder="1"/>
    <xf numFmtId="0" fontId="1" fillId="0" borderId="18" xfId="0" applyFont="1" applyBorder="1" applyAlignment="1">
      <alignment horizontal="left" indent="1"/>
    </xf>
    <xf numFmtId="0" fontId="1" fillId="0" borderId="19" xfId="0" applyFont="1" applyBorder="1"/>
    <xf numFmtId="0" fontId="5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6" xfId="0" applyFont="1" applyBorder="1" applyAlignment="1">
      <alignment horizontal="left" indent="1"/>
    </xf>
    <xf numFmtId="0" fontId="1" fillId="0" borderId="11" xfId="0" applyFont="1" applyBorder="1" applyAlignment="1">
      <alignment horizontal="left"/>
    </xf>
    <xf numFmtId="0" fontId="12" fillId="5" borderId="4" xfId="1" applyBorder="1"/>
    <xf numFmtId="0" fontId="12" fillId="5" borderId="5" xfId="1" applyBorder="1"/>
    <xf numFmtId="0" fontId="1" fillId="0" borderId="1" xfId="0" applyFont="1" applyBorder="1"/>
    <xf numFmtId="0" fontId="1" fillId="0" borderId="4" xfId="0" applyFont="1" applyBorder="1"/>
    <xf numFmtId="0" fontId="18" fillId="0" borderId="0" xfId="0" applyFont="1" applyBorder="1"/>
    <xf numFmtId="0" fontId="1" fillId="0" borderId="22" xfId="0" applyFont="1" applyBorder="1" applyAlignment="1">
      <alignment horizontal="center"/>
    </xf>
    <xf numFmtId="0" fontId="0" fillId="3" borderId="1" xfId="0" applyFill="1" applyBorder="1"/>
    <xf numFmtId="0" fontId="0" fillId="3" borderId="5" xfId="0" applyFill="1" applyBorder="1"/>
    <xf numFmtId="0" fontId="0" fillId="3" borderId="23" xfId="0" applyNumberFormat="1" applyFill="1" applyBorder="1" applyAlignment="1">
      <alignment horizontal="center"/>
    </xf>
    <xf numFmtId="0" fontId="0" fillId="8" borderId="1" xfId="0" applyFill="1" applyBorder="1"/>
    <xf numFmtId="0" fontId="0" fillId="8" borderId="5" xfId="0" applyFill="1" applyBorder="1"/>
    <xf numFmtId="0" fontId="0" fillId="8" borderId="3" xfId="0" applyNumberFormat="1" applyFill="1" applyBorder="1" applyAlignment="1">
      <alignment horizontal="center"/>
    </xf>
    <xf numFmtId="0" fontId="0" fillId="8" borderId="23" xfId="0" applyNumberFormat="1" applyFill="1" applyBorder="1" applyAlignment="1">
      <alignment horizontal="center"/>
    </xf>
    <xf numFmtId="0" fontId="1" fillId="3" borderId="5" xfId="0" applyFont="1" applyFill="1" applyBorder="1"/>
    <xf numFmtId="0" fontId="0" fillId="3" borderId="5" xfId="0" applyFont="1" applyFill="1" applyBorder="1"/>
    <xf numFmtId="0" fontId="0" fillId="3" borderId="8" xfId="0" applyFill="1" applyBorder="1"/>
    <xf numFmtId="0" fontId="0" fillId="3" borderId="24" xfId="0" applyNumberFormat="1" applyFill="1" applyBorder="1" applyAlignment="1">
      <alignment horizontal="center"/>
    </xf>
    <xf numFmtId="2" fontId="1" fillId="0" borderId="19" xfId="0" applyNumberFormat="1" applyFont="1" applyBorder="1" applyAlignment="1">
      <alignment horizontal="left" indent="1"/>
    </xf>
    <xf numFmtId="2" fontId="0" fillId="0" borderId="19" xfId="0" applyNumberFormat="1" applyBorder="1" applyAlignment="1">
      <alignment horizontal="left" indent="1"/>
    </xf>
    <xf numFmtId="2" fontId="1" fillId="0" borderId="12" xfId="0" applyNumberFormat="1" applyFont="1" applyBorder="1" applyAlignment="1">
      <alignment horizontal="left" inden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7" xfId="0" applyFont="1" applyBorder="1" applyAlignment="1"/>
    <xf numFmtId="0" fontId="1" fillId="0" borderId="4" xfId="0" applyFont="1" applyBorder="1" applyAlignment="1">
      <alignment horizontal="left" indent="1"/>
    </xf>
    <xf numFmtId="0" fontId="1" fillId="0" borderId="25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1" fillId="0" borderId="28" xfId="0" applyFont="1" applyBorder="1" applyAlignment="1">
      <alignment horizontal="left" indent="1"/>
    </xf>
    <xf numFmtId="0" fontId="1" fillId="0" borderId="29" xfId="0" applyFont="1" applyBorder="1" applyAlignment="1">
      <alignment horizontal="left" indent="1"/>
    </xf>
    <xf numFmtId="0" fontId="3" fillId="0" borderId="30" xfId="0" applyFont="1" applyBorder="1" applyAlignment="1"/>
    <xf numFmtId="0" fontId="1" fillId="0" borderId="9" xfId="0" applyFont="1" applyBorder="1" applyAlignment="1">
      <alignment horizontal="left" indent="1"/>
    </xf>
    <xf numFmtId="0" fontId="1" fillId="0" borderId="1" xfId="0" applyFont="1" applyBorder="1" applyAlignment="1">
      <alignment horizontal="center"/>
    </xf>
    <xf numFmtId="3" fontId="0" fillId="0" borderId="20" xfId="0" applyNumberFormat="1" applyBorder="1"/>
    <xf numFmtId="3" fontId="0" fillId="0" borderId="4" xfId="0" applyNumberFormat="1" applyBorder="1"/>
    <xf numFmtId="0" fontId="1" fillId="0" borderId="7" xfId="0" applyFont="1" applyBorder="1"/>
    <xf numFmtId="3" fontId="0" fillId="0" borderId="31" xfId="0" applyNumberFormat="1" applyBorder="1"/>
    <xf numFmtId="3" fontId="0" fillId="0" borderId="7" xfId="0" applyNumberFormat="1" applyBorder="1"/>
    <xf numFmtId="3" fontId="0" fillId="0" borderId="32" xfId="0" applyNumberFormat="1" applyBorder="1"/>
    <xf numFmtId="0" fontId="3" fillId="9" borderId="30" xfId="0" applyFont="1" applyFill="1" applyBorder="1"/>
    <xf numFmtId="0" fontId="3" fillId="9" borderId="27" xfId="0" applyFont="1" applyFill="1" applyBorder="1"/>
    <xf numFmtId="0" fontId="0" fillId="9" borderId="33" xfId="0" applyFill="1" applyBorder="1" applyAlignment="1">
      <alignment horizontal="center"/>
    </xf>
    <xf numFmtId="3" fontId="0" fillId="0" borderId="29" xfId="0" applyNumberFormat="1" applyBorder="1"/>
    <xf numFmtId="3" fontId="0" fillId="0" borderId="34" xfId="0" applyNumberFormat="1" applyBorder="1"/>
    <xf numFmtId="0" fontId="5" fillId="0" borderId="4" xfId="0" applyFont="1" applyBorder="1"/>
    <xf numFmtId="0" fontId="1" fillId="0" borderId="3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9" borderId="10" xfId="0" applyFont="1" applyFill="1" applyBorder="1"/>
    <xf numFmtId="0" fontId="3" fillId="9" borderId="11" xfId="0" applyFont="1" applyFill="1" applyBorder="1"/>
    <xf numFmtId="0" fontId="1" fillId="9" borderId="36" xfId="0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1" fillId="9" borderId="3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indent="1"/>
    </xf>
    <xf numFmtId="0" fontId="1" fillId="0" borderId="38" xfId="0" applyFont="1" applyBorder="1" applyAlignment="1">
      <alignment horizontal="left" indent="1"/>
    </xf>
    <xf numFmtId="0" fontId="1" fillId="0" borderId="39" xfId="0" applyFont="1" applyBorder="1" applyAlignment="1">
      <alignment horizontal="left" indent="1"/>
    </xf>
    <xf numFmtId="0" fontId="1" fillId="0" borderId="40" xfId="0" applyFont="1" applyBorder="1" applyAlignment="1">
      <alignment horizontal="left" indent="1"/>
    </xf>
    <xf numFmtId="2" fontId="1" fillId="0" borderId="26" xfId="0" applyNumberFormat="1" applyFont="1" applyBorder="1" applyAlignment="1">
      <alignment horizontal="left" indent="1"/>
    </xf>
    <xf numFmtId="2" fontId="1" fillId="0" borderId="34" xfId="0" applyNumberFormat="1" applyFont="1" applyBorder="1" applyAlignment="1">
      <alignment horizontal="left" indent="1"/>
    </xf>
    <xf numFmtId="2" fontId="1" fillId="0" borderId="31" xfId="0" applyNumberFormat="1" applyFont="1" applyBorder="1" applyAlignment="1">
      <alignment horizontal="left" indent="1"/>
    </xf>
    <xf numFmtId="0" fontId="3" fillId="0" borderId="19" xfId="0" applyFont="1" applyBorder="1" applyAlignment="1"/>
    <xf numFmtId="0" fontId="3" fillId="0" borderId="0" xfId="0" applyFont="1" applyBorder="1" applyAlignment="1"/>
    <xf numFmtId="0" fontId="0" fillId="0" borderId="2" xfId="0" applyBorder="1" applyAlignment="1">
      <alignment horizontal="left" indent="1"/>
    </xf>
    <xf numFmtId="2" fontId="0" fillId="0" borderId="10" xfId="0" applyNumberFormat="1" applyBorder="1" applyAlignment="1">
      <alignment horizontal="left" indent="1"/>
    </xf>
    <xf numFmtId="0" fontId="1" fillId="0" borderId="26" xfId="0" applyFont="1" applyBorder="1" applyAlignment="1">
      <alignment horizontal="left" indent="1"/>
    </xf>
    <xf numFmtId="0" fontId="1" fillId="0" borderId="31" xfId="0" applyFont="1" applyBorder="1" applyAlignment="1">
      <alignment horizontal="left" indent="1"/>
    </xf>
    <xf numFmtId="0" fontId="1" fillId="0" borderId="32" xfId="0" applyFont="1" applyBorder="1" applyAlignment="1">
      <alignment horizontal="left" indent="1"/>
    </xf>
    <xf numFmtId="0" fontId="1" fillId="0" borderId="18" xfId="0" applyFont="1" applyBorder="1" applyAlignment="1">
      <alignment horizontal="left"/>
    </xf>
    <xf numFmtId="3" fontId="0" fillId="0" borderId="41" xfId="0" applyNumberFormat="1" applyBorder="1"/>
    <xf numFmtId="3" fontId="0" fillId="0" borderId="5" xfId="0" applyNumberFormat="1" applyBorder="1"/>
    <xf numFmtId="2" fontId="1" fillId="0" borderId="18" xfId="0" applyNumberFormat="1" applyFont="1" applyBorder="1" applyAlignment="1">
      <alignment horizontal="left" indent="1"/>
    </xf>
    <xf numFmtId="2" fontId="1" fillId="0" borderId="39" xfId="0" applyNumberFormat="1" applyFont="1" applyBorder="1" applyAlignment="1">
      <alignment horizontal="left" indent="1"/>
    </xf>
    <xf numFmtId="2" fontId="1" fillId="0" borderId="40" xfId="0" applyNumberFormat="1" applyFont="1" applyBorder="1" applyAlignment="1">
      <alignment horizontal="left" indent="1"/>
    </xf>
    <xf numFmtId="169" fontId="0" fillId="0" borderId="20" xfId="0" applyNumberFormat="1" applyBorder="1"/>
    <xf numFmtId="0" fontId="1" fillId="0" borderId="34" xfId="0" applyFont="1" applyBorder="1" applyAlignment="1">
      <alignment horizontal="left" indent="1"/>
    </xf>
    <xf numFmtId="0" fontId="3" fillId="0" borderId="42" xfId="0" applyFont="1" applyBorder="1" applyAlignment="1"/>
    <xf numFmtId="3" fontId="13" fillId="0" borderId="66" xfId="2" applyNumberFormat="1" applyFill="1" applyBorder="1"/>
    <xf numFmtId="3" fontId="0" fillId="0" borderId="29" xfId="0" applyNumberFormat="1" applyFill="1" applyBorder="1"/>
    <xf numFmtId="0" fontId="1" fillId="0" borderId="31" xfId="0" applyFont="1" applyBorder="1"/>
    <xf numFmtId="0" fontId="1" fillId="0" borderId="32" xfId="0" applyFont="1" applyBorder="1"/>
    <xf numFmtId="0" fontId="20" fillId="10" borderId="1" xfId="0" applyFont="1" applyFill="1" applyBorder="1" applyAlignment="1">
      <alignment horizontal="left"/>
    </xf>
    <xf numFmtId="0" fontId="20" fillId="10" borderId="4" xfId="0" applyFont="1" applyFill="1" applyBorder="1" applyAlignment="1">
      <alignment horizontal="left"/>
    </xf>
    <xf numFmtId="0" fontId="20" fillId="10" borderId="4" xfId="0" applyFont="1" applyFill="1" applyBorder="1"/>
    <xf numFmtId="0" fontId="20" fillId="10" borderId="5" xfId="0" applyFont="1" applyFill="1" applyBorder="1"/>
    <xf numFmtId="0" fontId="18" fillId="0" borderId="43" xfId="0" applyFont="1" applyBorder="1"/>
    <xf numFmtId="0" fontId="18" fillId="0" borderId="44" xfId="0" applyFont="1" applyBorder="1"/>
    <xf numFmtId="0" fontId="18" fillId="0" borderId="45" xfId="0" applyFont="1" applyBorder="1"/>
    <xf numFmtId="3" fontId="0" fillId="0" borderId="17" xfId="0" applyNumberFormat="1" applyBorder="1"/>
    <xf numFmtId="3" fontId="1" fillId="0" borderId="41" xfId="0" applyNumberFormat="1" applyFont="1" applyBorder="1"/>
    <xf numFmtId="4" fontId="0" fillId="0" borderId="0" xfId="0" applyNumberFormat="1"/>
    <xf numFmtId="166" fontId="0" fillId="0" borderId="0" xfId="0" applyNumberFormat="1"/>
    <xf numFmtId="1" fontId="0" fillId="0" borderId="0" xfId="0" applyNumberFormat="1"/>
    <xf numFmtId="170" fontId="0" fillId="0" borderId="0" xfId="0" applyNumberFormat="1"/>
    <xf numFmtId="0" fontId="3" fillId="0" borderId="6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0" xfId="0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70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70" xfId="0" applyFont="1" applyBorder="1" applyAlignment="1">
      <alignment horizontal="center"/>
    </xf>
    <xf numFmtId="0" fontId="0" fillId="0" borderId="71" xfId="0" applyBorder="1"/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vertical="center"/>
    </xf>
    <xf numFmtId="0" fontId="1" fillId="0" borderId="75" xfId="0" applyFont="1" applyBorder="1" applyAlignment="1">
      <alignment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68" xfId="0" applyFont="1" applyBorder="1" applyAlignment="1">
      <alignment vertical="center" wrapText="1"/>
    </xf>
    <xf numFmtId="0" fontId="1" fillId="0" borderId="69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77" xfId="0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9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79" xfId="0" applyFont="1" applyBorder="1" applyAlignment="1">
      <alignment vertical="center"/>
    </xf>
    <xf numFmtId="0" fontId="1" fillId="0" borderId="15" xfId="0" applyFont="1" applyFill="1" applyBorder="1"/>
    <xf numFmtId="0" fontId="0" fillId="9" borderId="49" xfId="0" applyFill="1" applyBorder="1" applyAlignment="1">
      <alignment horizontal="center"/>
    </xf>
    <xf numFmtId="0" fontId="1" fillId="9" borderId="37" xfId="0" applyFont="1" applyFill="1" applyBorder="1" applyAlignment="1">
      <alignment horizontal="center" vertical="center" wrapText="1"/>
    </xf>
    <xf numFmtId="0" fontId="1" fillId="9" borderId="5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" fillId="11" borderId="22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51" xfId="0" applyFont="1" applyFill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0" fillId="0" borderId="79" xfId="0" applyNumberForma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4" fontId="13" fillId="0" borderId="66" xfId="2" applyNumberFormat="1" applyFill="1" applyAlignment="1">
      <alignment horizontal="center"/>
    </xf>
    <xf numFmtId="0" fontId="1" fillId="0" borderId="19" xfId="0" applyFont="1" applyFill="1" applyBorder="1" applyAlignment="1">
      <alignment horizontal="left" indent="1"/>
    </xf>
    <xf numFmtId="0" fontId="1" fillId="0" borderId="0" xfId="0" applyFont="1" applyFill="1"/>
    <xf numFmtId="3" fontId="0" fillId="0" borderId="1" xfId="0" applyNumberFormat="1" applyFill="1" applyBorder="1"/>
    <xf numFmtId="3" fontId="0" fillId="0" borderId="4" xfId="0" applyNumberFormat="1" applyFill="1" applyBorder="1"/>
    <xf numFmtId="3" fontId="13" fillId="0" borderId="87" xfId="2" applyNumberFormat="1" applyFill="1" applyBorder="1"/>
    <xf numFmtId="3" fontId="0" fillId="0" borderId="22" xfId="0" applyNumberFormat="1" applyFill="1" applyBorder="1"/>
    <xf numFmtId="3" fontId="13" fillId="0" borderId="88" xfId="2" applyNumberFormat="1" applyFill="1" applyBorder="1"/>
    <xf numFmtId="3" fontId="13" fillId="0" borderId="89" xfId="2" applyNumberFormat="1" applyFill="1" applyBorder="1"/>
    <xf numFmtId="169" fontId="0" fillId="0" borderId="4" xfId="0" applyNumberFormat="1" applyFill="1" applyBorder="1"/>
    <xf numFmtId="3" fontId="13" fillId="0" borderId="90" xfId="2" applyNumberFormat="1" applyFill="1" applyBorder="1"/>
    <xf numFmtId="3" fontId="0" fillId="0" borderId="7" xfId="0" applyNumberFormat="1" applyFill="1" applyBorder="1"/>
    <xf numFmtId="169" fontId="0" fillId="0" borderId="7" xfId="0" applyNumberFormat="1" applyFill="1" applyBorder="1"/>
    <xf numFmtId="164" fontId="14" fillId="0" borderId="87" xfId="3" applyNumberFormat="1" applyFill="1" applyBorder="1"/>
    <xf numFmtId="0" fontId="0" fillId="0" borderId="22" xfId="0" applyFill="1" applyBorder="1"/>
    <xf numFmtId="164" fontId="14" fillId="0" borderId="89" xfId="3" applyNumberFormat="1" applyFill="1" applyBorder="1"/>
    <xf numFmtId="0" fontId="0" fillId="0" borderId="4" xfId="0" applyFill="1" applyBorder="1"/>
    <xf numFmtId="164" fontId="14" fillId="0" borderId="90" xfId="3" applyNumberFormat="1" applyFill="1" applyBorder="1"/>
    <xf numFmtId="0" fontId="0" fillId="0" borderId="7" xfId="0" applyFill="1" applyBorder="1"/>
    <xf numFmtId="0" fontId="3" fillId="0" borderId="0" xfId="0" applyFont="1" applyFill="1" applyBorder="1" applyAlignment="1"/>
    <xf numFmtId="2" fontId="0" fillId="0" borderId="4" xfId="0" applyNumberFormat="1" applyFill="1" applyBorder="1"/>
    <xf numFmtId="0" fontId="14" fillId="0" borderId="88" xfId="3" applyFill="1" applyBorder="1"/>
    <xf numFmtId="164" fontId="13" fillId="0" borderId="91" xfId="2" applyNumberFormat="1" applyFill="1" applyBorder="1"/>
    <xf numFmtId="164" fontId="0" fillId="0" borderId="31" xfId="0" applyNumberFormat="1" applyFill="1" applyBorder="1"/>
    <xf numFmtId="164" fontId="13" fillId="0" borderId="92" xfId="2" applyNumberFormat="1" applyFill="1" applyBorder="1"/>
    <xf numFmtId="0" fontId="0" fillId="0" borderId="31" xfId="0" applyFill="1" applyBorder="1"/>
    <xf numFmtId="0" fontId="0" fillId="0" borderId="32" xfId="0" applyFill="1" applyBorder="1"/>
    <xf numFmtId="3" fontId="13" fillId="0" borderId="91" xfId="2" applyNumberFormat="1" applyFill="1" applyBorder="1"/>
    <xf numFmtId="3" fontId="0" fillId="0" borderId="31" xfId="0" applyNumberFormat="1" applyFill="1" applyBorder="1"/>
    <xf numFmtId="3" fontId="0" fillId="0" borderId="32" xfId="0" applyNumberFormat="1" applyFill="1" applyBorder="1"/>
    <xf numFmtId="0" fontId="1" fillId="0" borderId="59" xfId="0" applyFont="1" applyFill="1" applyBorder="1"/>
    <xf numFmtId="0" fontId="1" fillId="0" borderId="60" xfId="0" applyFont="1" applyFill="1" applyBorder="1"/>
    <xf numFmtId="0" fontId="0" fillId="0" borderId="61" xfId="0" applyFill="1" applyBorder="1"/>
    <xf numFmtId="0" fontId="0" fillId="0" borderId="62" xfId="0" applyFill="1" applyBorder="1"/>
    <xf numFmtId="0" fontId="1" fillId="0" borderId="25" xfId="0" applyFont="1" applyFill="1" applyBorder="1"/>
    <xf numFmtId="0" fontId="1" fillId="0" borderId="63" xfId="0" applyFont="1" applyFill="1" applyBorder="1"/>
    <xf numFmtId="0" fontId="0" fillId="0" borderId="26" xfId="0" applyFill="1" applyBorder="1"/>
    <xf numFmtId="3" fontId="13" fillId="0" borderId="93" xfId="2" applyNumberFormat="1" applyFill="1" applyBorder="1"/>
    <xf numFmtId="3" fontId="13" fillId="0" borderId="14" xfId="2" applyNumberFormat="1" applyFill="1" applyBorder="1"/>
    <xf numFmtId="3" fontId="13" fillId="0" borderId="94" xfId="2" applyNumberFormat="1" applyFill="1" applyBorder="1"/>
    <xf numFmtId="3" fontId="13" fillId="0" borderId="3" xfId="2" applyNumberFormat="1" applyFill="1" applyBorder="1"/>
    <xf numFmtId="164" fontId="13" fillId="0" borderId="88" xfId="2" applyNumberFormat="1" applyFill="1" applyBorder="1"/>
    <xf numFmtId="0" fontId="13" fillId="0" borderId="91" xfId="2" applyFill="1" applyBorder="1"/>
    <xf numFmtId="0" fontId="1" fillId="9" borderId="50" xfId="0" applyFont="1" applyFill="1" applyBorder="1" applyAlignment="1">
      <alignment horizontal="center" vertical="center"/>
    </xf>
    <xf numFmtId="0" fontId="1" fillId="11" borderId="63" xfId="0" applyFont="1" applyFill="1" applyBorder="1" applyAlignment="1">
      <alignment horizontal="center"/>
    </xf>
    <xf numFmtId="0" fontId="1" fillId="0" borderId="20" xfId="0" applyFont="1" applyBorder="1"/>
    <xf numFmtId="0" fontId="5" fillId="0" borderId="20" xfId="0" applyFont="1" applyBorder="1"/>
    <xf numFmtId="3" fontId="13" fillId="0" borderId="95" xfId="2" applyNumberFormat="1" applyFill="1" applyBorder="1"/>
    <xf numFmtId="3" fontId="13" fillId="0" borderId="96" xfId="2" applyNumberFormat="1" applyFill="1" applyBorder="1"/>
    <xf numFmtId="0" fontId="14" fillId="0" borderId="97" xfId="3" applyFill="1" applyBorder="1"/>
    <xf numFmtId="0" fontId="0" fillId="0" borderId="20" xfId="0" applyFill="1" applyBorder="1"/>
    <xf numFmtId="0" fontId="14" fillId="0" borderId="96" xfId="3" applyFill="1" applyBorder="1"/>
    <xf numFmtId="0" fontId="0" fillId="0" borderId="17" xfId="0" applyFill="1" applyBorder="1"/>
    <xf numFmtId="0" fontId="0" fillId="0" borderId="63" xfId="0" applyFill="1" applyBorder="1"/>
    <xf numFmtId="0" fontId="0" fillId="0" borderId="60" xfId="0" applyFill="1" applyBorder="1"/>
    <xf numFmtId="0" fontId="1" fillId="0" borderId="1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24" xfId="0" applyFont="1" applyBorder="1"/>
    <xf numFmtId="0" fontId="1" fillId="0" borderId="65" xfId="0" applyFont="1" applyFill="1" applyBorder="1"/>
    <xf numFmtId="0" fontId="1" fillId="0" borderId="57" xfId="0" applyFont="1" applyFill="1" applyBorder="1"/>
    <xf numFmtId="0" fontId="5" fillId="0" borderId="39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40" xfId="0" applyFont="1" applyBorder="1"/>
    <xf numFmtId="0" fontId="1" fillId="0" borderId="18" xfId="0" applyFont="1" applyFill="1" applyBorder="1"/>
    <xf numFmtId="0" fontId="1" fillId="0" borderId="12" xfId="0" applyFont="1" applyFill="1" applyBorder="1"/>
    <xf numFmtId="0" fontId="1" fillId="0" borderId="1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9" xfId="0" applyFont="1" applyBorder="1"/>
    <xf numFmtId="0" fontId="1" fillId="0" borderId="2" xfId="0" applyFont="1" applyFill="1" applyBorder="1"/>
    <xf numFmtId="0" fontId="3" fillId="0" borderId="53" xfId="0" applyFont="1" applyBorder="1" applyAlignment="1"/>
    <xf numFmtId="2" fontId="1" fillId="0" borderId="32" xfId="0" applyNumberFormat="1" applyFont="1" applyBorder="1" applyAlignment="1">
      <alignment horizontal="left" indent="1"/>
    </xf>
    <xf numFmtId="3" fontId="0" fillId="0" borderId="17" xfId="0" applyNumberFormat="1" applyFill="1" applyBorder="1"/>
    <xf numFmtId="3" fontId="13" fillId="0" borderId="98" xfId="2" applyNumberFormat="1" applyFill="1" applyBorder="1"/>
    <xf numFmtId="3" fontId="0" fillId="0" borderId="8" xfId="0" applyNumberFormat="1" applyFill="1" applyBorder="1"/>
    <xf numFmtId="0" fontId="1" fillId="11" borderId="26" xfId="0" applyFont="1" applyFill="1" applyBorder="1" applyAlignment="1">
      <alignment horizontal="center"/>
    </xf>
    <xf numFmtId="3" fontId="13" fillId="0" borderId="92" xfId="2" applyNumberFormat="1" applyFill="1" applyBorder="1"/>
    <xf numFmtId="0" fontId="0" fillId="0" borderId="9" xfId="0" applyBorder="1" applyAlignment="1">
      <alignment horizontal="left" indent="1"/>
    </xf>
    <xf numFmtId="3" fontId="13" fillId="0" borderId="99" xfId="2" applyNumberFormat="1" applyFill="1" applyBorder="1"/>
    <xf numFmtId="3" fontId="13" fillId="0" borderId="15" xfId="2" applyNumberFormat="1" applyFill="1" applyBorder="1"/>
    <xf numFmtId="0" fontId="3" fillId="9" borderId="10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51" xfId="0" applyFont="1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50" xfId="0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7" fillId="0" borderId="82" xfId="0" applyFont="1" applyBorder="1" applyAlignment="1">
      <alignment horizontal="center"/>
    </xf>
    <xf numFmtId="0" fontId="17" fillId="0" borderId="81" xfId="0" applyFont="1" applyBorder="1" applyAlignment="1">
      <alignment horizontal="center"/>
    </xf>
    <xf numFmtId="0" fontId="17" fillId="0" borderId="67" xfId="0" applyFont="1" applyBorder="1" applyAlignment="1">
      <alignment horizontal="center"/>
    </xf>
    <xf numFmtId="0" fontId="17" fillId="0" borderId="83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0" fontId="0" fillId="0" borderId="80" xfId="0" applyNumberFormat="1" applyBorder="1" applyAlignment="1">
      <alignment horizontal="center"/>
    </xf>
    <xf numFmtId="0" fontId="0" fillId="0" borderId="81" xfId="0" applyNumberFormat="1" applyBorder="1" applyAlignment="1">
      <alignment horizontal="center"/>
    </xf>
    <xf numFmtId="0" fontId="3" fillId="2" borderId="51" xfId="0" applyFont="1" applyFill="1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2" fillId="0" borderId="58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41" xfId="0" applyFont="1" applyBorder="1" applyAlignment="1">
      <alignment horizontal="center"/>
    </xf>
  </cellXfs>
  <cellStyles count="18">
    <cellStyle name="Buena" xfId="1" builtinId="26"/>
    <cellStyle name="Cálculo" xfId="2" builtinId="22"/>
    <cellStyle name="Entrada" xfId="3" builtinId="20"/>
    <cellStyle name="Euro" xfId="4"/>
    <cellStyle name="Millares 2" xfId="5"/>
    <cellStyle name="Millares 2 2" xfId="6"/>
    <cellStyle name="Millares 3" xfId="7"/>
    <cellStyle name="Normal" xfId="0" builtinId="0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P1" xfId="14"/>
    <cellStyle name="Porcentaje 2" xfId="15"/>
    <cellStyle name="Porcentual 2" xfId="16"/>
    <cellStyle name="Porcentual 3" xfId="17"/>
  </cellStyles>
  <dxfs count="0"/>
  <tableStyles count="1" defaultTableStyle="TableStyleMedium9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">
      <a:majorFont>
        <a:latin typeface="Calibri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pageSetUpPr fitToPage="1"/>
  </sheetPr>
  <dimension ref="A1:Q47"/>
  <sheetViews>
    <sheetView tabSelected="1" zoomScale="80" zoomScaleNormal="8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S18" sqref="S18"/>
    </sheetView>
  </sheetViews>
  <sheetFormatPr baseColWidth="10" defaultRowHeight="12.75" x14ac:dyDescent="0.2"/>
  <cols>
    <col min="1" max="1" width="30.140625" bestFit="1" customWidth="1"/>
    <col min="2" max="2" width="8.7109375" bestFit="1" customWidth="1"/>
    <col min="3" max="3" width="7.140625" bestFit="1" customWidth="1"/>
    <col min="4" max="4" width="7.140625" customWidth="1"/>
    <col min="5" max="5" width="8" bestFit="1" customWidth="1"/>
    <col min="6" max="6" width="12.42578125" bestFit="1" customWidth="1"/>
    <col min="9" max="10" width="12" customWidth="1"/>
    <col min="11" max="11" width="12" bestFit="1" customWidth="1"/>
    <col min="12" max="17" width="12" customWidth="1"/>
  </cols>
  <sheetData>
    <row r="1" spans="1:17" ht="15.75" thickBot="1" x14ac:dyDescent="0.3">
      <c r="A1" s="19" t="s">
        <v>277</v>
      </c>
      <c r="B1" s="19"/>
      <c r="C1" s="19"/>
      <c r="D1" s="19"/>
      <c r="E1" s="19"/>
    </row>
    <row r="2" spans="1:17" ht="13.5" thickBot="1" x14ac:dyDescent="0.25">
      <c r="A2" s="83" t="s">
        <v>79</v>
      </c>
      <c r="B2" s="84"/>
      <c r="C2" s="268" t="s">
        <v>80</v>
      </c>
      <c r="D2" s="269"/>
      <c r="E2" s="270"/>
      <c r="F2" s="167">
        <v>1</v>
      </c>
      <c r="G2" s="85">
        <f>+F2+1</f>
        <v>2</v>
      </c>
      <c r="H2" s="85">
        <f>+G2+1</f>
        <v>3</v>
      </c>
      <c r="I2" s="85">
        <f>+H2+1</f>
        <v>4</v>
      </c>
      <c r="J2" s="85">
        <f>+I2+1</f>
        <v>5</v>
      </c>
      <c r="K2" s="271">
        <f>+J2+1</f>
        <v>6</v>
      </c>
      <c r="L2" s="272"/>
      <c r="M2" s="85">
        <f>+K2+1</f>
        <v>7</v>
      </c>
      <c r="N2" s="85">
        <f>+M2+1</f>
        <v>8</v>
      </c>
      <c r="O2" s="85">
        <f>+N2+1</f>
        <v>9</v>
      </c>
      <c r="P2" s="271">
        <f>+O2+1</f>
        <v>10</v>
      </c>
      <c r="Q2" s="272"/>
    </row>
    <row r="3" spans="1:17" ht="13.5" thickBot="1" x14ac:dyDescent="0.25">
      <c r="A3" s="91"/>
      <c r="B3" s="92"/>
      <c r="C3" s="173"/>
      <c r="D3" s="174"/>
      <c r="E3" s="175"/>
      <c r="F3" s="229" t="s">
        <v>274</v>
      </c>
      <c r="G3" s="93"/>
      <c r="H3" s="168"/>
      <c r="I3" s="96"/>
      <c r="J3" s="93"/>
      <c r="K3" s="94"/>
      <c r="L3" s="169"/>
      <c r="M3" s="93"/>
      <c r="N3" s="95"/>
      <c r="O3" s="95"/>
      <c r="P3" s="94"/>
      <c r="Q3" s="169"/>
    </row>
    <row r="4" spans="1:17" x14ac:dyDescent="0.2">
      <c r="A4" s="284" t="s">
        <v>129</v>
      </c>
      <c r="B4" s="285"/>
      <c r="C4" s="64" t="s">
        <v>12</v>
      </c>
      <c r="D4" s="49" t="s">
        <v>92</v>
      </c>
      <c r="E4" s="65" t="s">
        <v>197</v>
      </c>
      <c r="F4" s="230" t="s">
        <v>92</v>
      </c>
      <c r="G4" s="172" t="s">
        <v>92</v>
      </c>
      <c r="H4" s="172" t="s">
        <v>92</v>
      </c>
      <c r="I4" s="172" t="s">
        <v>158</v>
      </c>
      <c r="J4" s="172" t="s">
        <v>92</v>
      </c>
      <c r="K4" s="172" t="s">
        <v>12</v>
      </c>
      <c r="L4" s="172" t="s">
        <v>92</v>
      </c>
      <c r="M4" s="172" t="s">
        <v>92</v>
      </c>
      <c r="N4" s="172" t="s">
        <v>92</v>
      </c>
      <c r="O4" s="172" t="s">
        <v>92</v>
      </c>
      <c r="P4" s="172" t="s">
        <v>12</v>
      </c>
      <c r="Q4" s="263" t="s">
        <v>92</v>
      </c>
    </row>
    <row r="5" spans="1:17" x14ac:dyDescent="0.2">
      <c r="A5" s="278" t="s">
        <v>96</v>
      </c>
      <c r="B5" s="279"/>
      <c r="C5" s="46" t="s">
        <v>127</v>
      </c>
      <c r="D5" s="47" t="s">
        <v>127</v>
      </c>
      <c r="E5" s="122" t="s">
        <v>127</v>
      </c>
      <c r="F5" s="231"/>
      <c r="G5" s="47"/>
      <c r="H5" s="47"/>
      <c r="I5" s="47"/>
      <c r="J5" s="47"/>
      <c r="K5" s="286"/>
      <c r="L5" s="286"/>
      <c r="M5" s="47"/>
      <c r="N5" s="47"/>
      <c r="O5" s="47"/>
      <c r="P5" s="286"/>
      <c r="Q5" s="287"/>
    </row>
    <row r="6" spans="1:17" x14ac:dyDescent="0.2">
      <c r="A6" s="278" t="s">
        <v>198</v>
      </c>
      <c r="B6" s="279"/>
      <c r="C6" s="46" t="s">
        <v>131</v>
      </c>
      <c r="D6" s="47" t="s">
        <v>131</v>
      </c>
      <c r="E6" s="122" t="s">
        <v>131</v>
      </c>
      <c r="F6" s="232"/>
      <c r="G6" s="88"/>
      <c r="H6" s="88"/>
      <c r="I6" s="88"/>
      <c r="J6" s="88"/>
      <c r="K6" s="282"/>
      <c r="L6" s="282"/>
      <c r="M6" s="88"/>
      <c r="N6" s="88"/>
      <c r="O6" s="88"/>
      <c r="P6" s="282"/>
      <c r="Q6" s="283"/>
    </row>
    <row r="7" spans="1:17" ht="14.25" x14ac:dyDescent="0.2">
      <c r="A7" s="276" t="s">
        <v>199</v>
      </c>
      <c r="B7" s="277"/>
      <c r="C7" s="46"/>
      <c r="D7" s="47" t="s">
        <v>214</v>
      </c>
      <c r="E7" s="122"/>
      <c r="F7" s="233"/>
      <c r="G7" s="120"/>
      <c r="H7" s="121"/>
      <c r="I7" s="121"/>
      <c r="J7" s="121"/>
      <c r="K7" s="121"/>
      <c r="L7" s="121"/>
      <c r="M7" s="121"/>
      <c r="N7" s="121"/>
      <c r="O7" s="121"/>
      <c r="P7" s="121"/>
      <c r="Q7" s="264"/>
    </row>
    <row r="8" spans="1:17" ht="14.25" x14ac:dyDescent="0.2">
      <c r="A8" s="278" t="s">
        <v>200</v>
      </c>
      <c r="B8" s="279"/>
      <c r="C8" s="76" t="s">
        <v>213</v>
      </c>
      <c r="D8" s="47"/>
      <c r="E8" s="122"/>
      <c r="F8" s="234"/>
      <c r="G8" s="120"/>
      <c r="H8" s="120"/>
      <c r="I8" s="189"/>
      <c r="J8" s="120"/>
      <c r="K8" s="120"/>
      <c r="L8" s="189"/>
      <c r="M8" s="120"/>
      <c r="N8" s="120"/>
      <c r="O8" s="120"/>
      <c r="P8" s="120"/>
      <c r="Q8" s="264"/>
    </row>
    <row r="9" spans="1:17" ht="13.5" thickBot="1" x14ac:dyDescent="0.25">
      <c r="A9" s="280" t="s">
        <v>201</v>
      </c>
      <c r="B9" s="281"/>
      <c r="C9" s="30"/>
      <c r="D9" s="79"/>
      <c r="E9" s="123"/>
      <c r="F9" s="131"/>
      <c r="G9" s="81"/>
      <c r="H9" s="81"/>
      <c r="I9" s="81"/>
      <c r="J9" s="81"/>
      <c r="K9" s="81"/>
      <c r="L9" s="81"/>
      <c r="M9" s="81"/>
      <c r="N9" s="81"/>
      <c r="O9" s="81"/>
      <c r="P9" s="81"/>
      <c r="Q9" s="82"/>
    </row>
    <row r="10" spans="1:17" ht="13.5" thickBot="1" x14ac:dyDescent="0.25">
      <c r="A10" s="39"/>
      <c r="B10" s="5"/>
      <c r="C10" s="5"/>
      <c r="D10" s="5"/>
      <c r="E10" s="5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3.5" thickBot="1" x14ac:dyDescent="0.25">
      <c r="A11" s="66" t="s">
        <v>21</v>
      </c>
      <c r="B11" s="74" t="s">
        <v>202</v>
      </c>
      <c r="C11" s="273"/>
      <c r="D11" s="274"/>
      <c r="E11" s="275"/>
      <c r="F11" s="66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258"/>
    </row>
    <row r="12" spans="1:17" ht="15.75" x14ac:dyDescent="0.3">
      <c r="A12" s="38" t="s">
        <v>130</v>
      </c>
      <c r="B12" s="101">
        <f>+DataTable!$C$66</f>
        <v>18.015280000000001</v>
      </c>
      <c r="C12" s="68"/>
      <c r="D12" s="69" t="s">
        <v>218</v>
      </c>
      <c r="E12" s="108"/>
      <c r="F12" s="86"/>
      <c r="G12" s="86"/>
      <c r="H12" s="86"/>
      <c r="I12" s="86"/>
      <c r="J12" s="86"/>
      <c r="K12" s="86"/>
      <c r="L12" s="86"/>
      <c r="M12" s="86"/>
      <c r="N12" s="112"/>
      <c r="O12" s="132"/>
      <c r="P12" s="86"/>
      <c r="Q12" s="87"/>
    </row>
    <row r="13" spans="1:17" x14ac:dyDescent="0.2">
      <c r="A13" s="98" t="s">
        <v>44</v>
      </c>
      <c r="B13" s="102">
        <f>+DataTable!$C$83</f>
        <v>73.890899999999988</v>
      </c>
      <c r="C13" s="72"/>
      <c r="D13" s="73" t="s">
        <v>218</v>
      </c>
      <c r="E13" s="118"/>
      <c r="F13" s="117"/>
      <c r="G13" s="78"/>
      <c r="H13" s="78"/>
      <c r="I13" s="78"/>
      <c r="J13" s="78"/>
      <c r="K13" s="78"/>
      <c r="L13" s="78"/>
      <c r="M13" s="78"/>
      <c r="N13" s="113"/>
      <c r="O13" s="113"/>
      <c r="P13" s="78"/>
      <c r="Q13" s="80"/>
    </row>
    <row r="14" spans="1:17" x14ac:dyDescent="0.2">
      <c r="A14" s="98" t="s">
        <v>22</v>
      </c>
      <c r="B14" s="102">
        <f>+DataTable!$C$124</f>
        <v>74.551299999999998</v>
      </c>
      <c r="C14" s="72"/>
      <c r="D14" s="73" t="s">
        <v>218</v>
      </c>
      <c r="E14" s="118"/>
      <c r="F14" s="117"/>
      <c r="G14" s="78"/>
      <c r="H14" s="78"/>
      <c r="I14" s="78"/>
      <c r="J14" s="78"/>
      <c r="K14" s="78"/>
      <c r="L14" s="78"/>
      <c r="M14" s="78"/>
      <c r="N14" s="113"/>
      <c r="O14" s="113"/>
      <c r="P14" s="78"/>
      <c r="Q14" s="80"/>
    </row>
    <row r="15" spans="1:17" x14ac:dyDescent="0.2">
      <c r="A15" s="99" t="s">
        <v>7</v>
      </c>
      <c r="B15" s="103">
        <f>+DataTable!$C$128</f>
        <v>56.077400000000004</v>
      </c>
      <c r="C15" s="70"/>
      <c r="D15" s="73" t="s">
        <v>218</v>
      </c>
      <c r="E15" s="109"/>
      <c r="F15" s="77"/>
      <c r="G15" s="78"/>
      <c r="H15" s="78"/>
      <c r="I15" s="78"/>
      <c r="J15" s="78"/>
      <c r="K15" s="78"/>
      <c r="L15" s="78"/>
      <c r="M15" s="78"/>
      <c r="N15" s="113"/>
      <c r="O15" s="113"/>
      <c r="P15" s="78"/>
      <c r="Q15" s="80"/>
    </row>
    <row r="16" spans="1:17" x14ac:dyDescent="0.2">
      <c r="A16" s="99" t="s">
        <v>8</v>
      </c>
      <c r="B16" s="103">
        <f>+DataTable!$C$129</f>
        <v>74.092680000000001</v>
      </c>
      <c r="C16" s="70"/>
      <c r="D16" s="73" t="s">
        <v>218</v>
      </c>
      <c r="E16" s="109"/>
      <c r="F16" s="77"/>
      <c r="G16" s="78"/>
      <c r="H16" s="78"/>
      <c r="I16" s="78"/>
      <c r="J16" s="78"/>
      <c r="K16" s="78"/>
      <c r="L16" s="78"/>
      <c r="M16" s="78"/>
      <c r="N16" s="113"/>
      <c r="O16" s="113"/>
      <c r="P16" s="78"/>
      <c r="Q16" s="80"/>
    </row>
    <row r="17" spans="1:17" x14ac:dyDescent="0.2">
      <c r="A17" s="99" t="s">
        <v>26</v>
      </c>
      <c r="B17" s="103">
        <f>+DataTable!$C$134</f>
        <v>100.0869</v>
      </c>
      <c r="C17" s="70"/>
      <c r="D17" s="73" t="s">
        <v>218</v>
      </c>
      <c r="E17" s="109"/>
      <c r="F17" s="77"/>
      <c r="G17" s="78"/>
      <c r="H17" s="78"/>
      <c r="I17" s="78"/>
      <c r="J17" s="78"/>
      <c r="K17" s="78"/>
      <c r="L17" s="78"/>
      <c r="M17" s="78"/>
      <c r="N17" s="113"/>
      <c r="O17" s="113"/>
      <c r="P17" s="78"/>
      <c r="Q17" s="80"/>
    </row>
    <row r="18" spans="1:17" ht="15" thickBot="1" x14ac:dyDescent="0.25">
      <c r="A18" s="100" t="s">
        <v>81</v>
      </c>
      <c r="B18" s="259"/>
      <c r="C18" s="42"/>
      <c r="D18" s="71" t="s">
        <v>218</v>
      </c>
      <c r="E18" s="110"/>
      <c r="F18" s="260"/>
      <c r="G18" s="197"/>
      <c r="H18" s="197"/>
      <c r="I18" s="197"/>
      <c r="J18" s="197"/>
      <c r="K18" s="261"/>
      <c r="L18" s="197"/>
      <c r="M18" s="197"/>
      <c r="N18" s="262"/>
      <c r="O18" s="262"/>
      <c r="P18" s="197"/>
      <c r="Q18" s="215"/>
    </row>
    <row r="19" spans="1:17" ht="14.25" x14ac:dyDescent="0.2">
      <c r="A19" s="97" t="s">
        <v>89</v>
      </c>
      <c r="B19" s="114">
        <f>+DataTable!$C$7</f>
        <v>6.9409999999999998</v>
      </c>
      <c r="C19" s="68"/>
      <c r="D19" s="69" t="s">
        <v>218</v>
      </c>
      <c r="E19" s="108"/>
      <c r="F19" s="191"/>
      <c r="G19" s="192"/>
      <c r="H19" s="192"/>
      <c r="I19" s="192"/>
      <c r="J19" s="192"/>
      <c r="K19" s="192"/>
      <c r="L19" s="193"/>
      <c r="M19" s="192"/>
      <c r="N19" s="192"/>
      <c r="O19" s="192"/>
      <c r="P19" s="192"/>
      <c r="Q19" s="213"/>
    </row>
    <row r="20" spans="1:17" ht="14.25" x14ac:dyDescent="0.2">
      <c r="A20" s="33" t="s">
        <v>6</v>
      </c>
      <c r="B20" s="115">
        <f>+DataTable!$C$16</f>
        <v>24.305</v>
      </c>
      <c r="C20" s="70"/>
      <c r="D20" s="67" t="s">
        <v>218</v>
      </c>
      <c r="E20" s="109"/>
      <c r="F20" s="194"/>
      <c r="G20" s="190"/>
      <c r="H20" s="190"/>
      <c r="I20" s="195"/>
      <c r="J20" s="195"/>
      <c r="K20" s="190"/>
      <c r="L20" s="190"/>
      <c r="M20" s="195"/>
      <c r="N20" s="190"/>
      <c r="O20" s="190"/>
      <c r="P20" s="190"/>
      <c r="Q20" s="214"/>
    </row>
    <row r="21" spans="1:17" ht="15" thickBot="1" x14ac:dyDescent="0.25">
      <c r="A21" s="32" t="s">
        <v>5</v>
      </c>
      <c r="B21" s="116">
        <f>+DataTable!C24</f>
        <v>40.078000000000003</v>
      </c>
      <c r="C21" s="42"/>
      <c r="D21" s="71"/>
      <c r="E21" s="110"/>
      <c r="F21" s="196"/>
      <c r="G21" s="197"/>
      <c r="H21" s="197"/>
      <c r="I21" s="198"/>
      <c r="J21" s="198"/>
      <c r="K21" s="197"/>
      <c r="L21" s="197"/>
      <c r="M21" s="198"/>
      <c r="N21" s="197"/>
      <c r="O21" s="197"/>
      <c r="P21" s="197"/>
      <c r="Q21" s="215"/>
    </row>
    <row r="22" spans="1:17" ht="14.25" x14ac:dyDescent="0.2">
      <c r="A22" s="106" t="s">
        <v>4</v>
      </c>
      <c r="B22" s="107">
        <f>+DataTable!$C$7</f>
        <v>6.9409999999999998</v>
      </c>
      <c r="C22" s="68" t="s">
        <v>216</v>
      </c>
      <c r="D22" s="69" t="s">
        <v>224</v>
      </c>
      <c r="E22" s="108"/>
      <c r="F22" s="199"/>
      <c r="G22" s="200"/>
      <c r="H22" s="200"/>
      <c r="I22" s="200"/>
      <c r="J22" s="200"/>
      <c r="K22" s="200"/>
      <c r="L22" s="227"/>
      <c r="M22" s="200"/>
      <c r="N22" s="200"/>
      <c r="O22" s="200"/>
      <c r="P22" s="200"/>
      <c r="Q22" s="228"/>
    </row>
    <row r="23" spans="1:17" ht="14.25" x14ac:dyDescent="0.2">
      <c r="A23" s="33" t="s">
        <v>124</v>
      </c>
      <c r="B23" s="61">
        <f>+DataTable!$C$15</f>
        <v>22.989769280000001</v>
      </c>
      <c r="C23" s="70" t="s">
        <v>216</v>
      </c>
      <c r="D23" s="67" t="s">
        <v>224</v>
      </c>
      <c r="E23" s="109"/>
      <c r="F23" s="201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11"/>
    </row>
    <row r="24" spans="1:17" ht="14.25" x14ac:dyDescent="0.2">
      <c r="A24" s="33" t="s">
        <v>125</v>
      </c>
      <c r="B24" s="61">
        <f>+DataTable!$C$23</f>
        <v>39.098300000000002</v>
      </c>
      <c r="C24" s="70" t="s">
        <v>216</v>
      </c>
      <c r="D24" s="67" t="s">
        <v>224</v>
      </c>
      <c r="E24" s="109"/>
      <c r="F24" s="201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11"/>
    </row>
    <row r="25" spans="1:17" ht="14.25" x14ac:dyDescent="0.2">
      <c r="A25" s="33" t="s">
        <v>6</v>
      </c>
      <c r="B25" s="61">
        <f>+DataTable!$C$16</f>
        <v>24.305</v>
      </c>
      <c r="C25" s="70" t="s">
        <v>216</v>
      </c>
      <c r="D25" s="67" t="s">
        <v>224</v>
      </c>
      <c r="E25" s="109"/>
      <c r="F25" s="201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11"/>
    </row>
    <row r="26" spans="1:17" ht="14.25" x14ac:dyDescent="0.2">
      <c r="A26" s="32" t="s">
        <v>5</v>
      </c>
      <c r="B26" s="62">
        <f>+DataTable!$C$24</f>
        <v>40.078000000000003</v>
      </c>
      <c r="C26" s="70" t="s">
        <v>216</v>
      </c>
      <c r="D26" s="67" t="s">
        <v>224</v>
      </c>
      <c r="E26" s="109"/>
      <c r="F26" s="201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11"/>
    </row>
    <row r="27" spans="1:17" ht="16.5" thickBot="1" x14ac:dyDescent="0.35">
      <c r="A27" s="75" t="s">
        <v>126</v>
      </c>
      <c r="B27" s="63">
        <f>+DataTable!$C$94</f>
        <v>60.008899999999997</v>
      </c>
      <c r="C27" s="42" t="s">
        <v>216</v>
      </c>
      <c r="D27" s="71" t="s">
        <v>224</v>
      </c>
      <c r="E27" s="110"/>
      <c r="F27" s="203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12"/>
    </row>
    <row r="28" spans="1:17" x14ac:dyDescent="0.2"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</row>
    <row r="29" spans="1:17" ht="13.5" thickBot="1" x14ac:dyDescent="0.25">
      <c r="A29" s="104" t="s">
        <v>91</v>
      </c>
      <c r="B29" s="105"/>
      <c r="C29" s="105"/>
      <c r="D29" s="105"/>
      <c r="E29" s="1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</row>
    <row r="30" spans="1:17" ht="14.25" x14ac:dyDescent="0.2">
      <c r="A30" s="111" t="s">
        <v>205</v>
      </c>
      <c r="B30" s="253"/>
      <c r="C30" s="241" t="s">
        <v>203</v>
      </c>
      <c r="D30" s="43" t="s">
        <v>203</v>
      </c>
      <c r="E30" s="242" t="s">
        <v>204</v>
      </c>
      <c r="F30" s="235"/>
      <c r="G30" s="207"/>
      <c r="H30" s="200"/>
      <c r="I30" s="200"/>
      <c r="J30" s="200"/>
      <c r="K30" s="200"/>
      <c r="L30" s="200"/>
      <c r="M30" s="200"/>
      <c r="N30" s="200"/>
      <c r="O30" s="200"/>
      <c r="P30" s="200"/>
      <c r="Q30" s="208"/>
    </row>
    <row r="31" spans="1:17" x14ac:dyDescent="0.2">
      <c r="A31" s="248" t="s">
        <v>3</v>
      </c>
      <c r="B31" s="254"/>
      <c r="C31" s="2"/>
      <c r="D31" s="40"/>
      <c r="E31" s="243"/>
      <c r="F31" s="236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9"/>
    </row>
    <row r="32" spans="1:17" x14ac:dyDescent="0.2">
      <c r="A32" s="249" t="s">
        <v>206</v>
      </c>
      <c r="B32" s="255"/>
      <c r="C32" s="31"/>
      <c r="D32" s="41" t="s">
        <v>207</v>
      </c>
      <c r="E32" s="244" t="s">
        <v>207</v>
      </c>
      <c r="F32" s="236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9"/>
    </row>
    <row r="33" spans="1:17" ht="14.25" x14ac:dyDescent="0.2">
      <c r="A33" s="249" t="s">
        <v>219</v>
      </c>
      <c r="B33" s="255"/>
      <c r="C33" s="31"/>
      <c r="D33" s="41" t="s">
        <v>220</v>
      </c>
      <c r="E33" s="244"/>
      <c r="F33" s="237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10"/>
    </row>
    <row r="34" spans="1:17" x14ac:dyDescent="0.2">
      <c r="A34" s="249" t="s">
        <v>208</v>
      </c>
      <c r="B34" s="255"/>
      <c r="C34" s="31"/>
      <c r="D34" s="41" t="s">
        <v>210</v>
      </c>
      <c r="E34" s="244"/>
      <c r="F34" s="236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11"/>
    </row>
    <row r="35" spans="1:17" x14ac:dyDescent="0.2">
      <c r="A35" s="249" t="s">
        <v>209</v>
      </c>
      <c r="B35" s="255"/>
      <c r="C35" s="31" t="s">
        <v>211</v>
      </c>
      <c r="D35" s="41"/>
      <c r="E35" s="244"/>
      <c r="F35" s="236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11"/>
    </row>
    <row r="36" spans="1:17" x14ac:dyDescent="0.2">
      <c r="A36" s="249" t="s">
        <v>217</v>
      </c>
      <c r="B36" s="255"/>
      <c r="C36" s="31" t="s">
        <v>82</v>
      </c>
      <c r="D36" s="41"/>
      <c r="E36" s="244"/>
      <c r="F36" s="236"/>
      <c r="G36" s="202"/>
      <c r="H36" s="206"/>
      <c r="I36" s="202"/>
      <c r="J36" s="202"/>
      <c r="K36" s="202"/>
      <c r="L36" s="202"/>
      <c r="M36" s="202"/>
      <c r="N36" s="202"/>
      <c r="O36" s="202"/>
      <c r="P36" s="202"/>
      <c r="Q36" s="211"/>
    </row>
    <row r="37" spans="1:17" ht="13.5" thickBot="1" x14ac:dyDescent="0.25">
      <c r="A37" s="250" t="s">
        <v>275</v>
      </c>
      <c r="B37" s="256"/>
      <c r="C37" s="30" t="s">
        <v>212</v>
      </c>
      <c r="D37" s="37"/>
      <c r="E37" s="245"/>
      <c r="F37" s="238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12"/>
    </row>
    <row r="38" spans="1:17" x14ac:dyDescent="0.2">
      <c r="A38" s="251" t="s">
        <v>276</v>
      </c>
      <c r="B38" s="257"/>
      <c r="C38" s="220"/>
      <c r="D38" s="221"/>
      <c r="E38" s="246"/>
      <c r="F38" s="239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22"/>
    </row>
    <row r="39" spans="1:17" ht="13.5" thickBot="1" x14ac:dyDescent="0.25">
      <c r="A39" s="252" t="s">
        <v>264</v>
      </c>
      <c r="B39" s="166"/>
      <c r="C39" s="216"/>
      <c r="D39" s="217"/>
      <c r="E39" s="247"/>
      <c r="F39" s="240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9"/>
    </row>
    <row r="40" spans="1:17" x14ac:dyDescent="0.2">
      <c r="A40" s="35"/>
      <c r="B40" s="35"/>
      <c r="C40" s="35"/>
      <c r="D40" s="35"/>
      <c r="E40" s="35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</row>
    <row r="41" spans="1:17" ht="13.5" thickBot="1" x14ac:dyDescent="0.25">
      <c r="A41" s="36" t="s">
        <v>240</v>
      </c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</row>
    <row r="42" spans="1:17" ht="14.25" x14ac:dyDescent="0.2">
      <c r="A42" s="97" t="s">
        <v>89</v>
      </c>
      <c r="B42" s="114">
        <f>+DataTable!$C$7</f>
        <v>6.9409999999999998</v>
      </c>
      <c r="C42" s="68"/>
      <c r="D42" s="69" t="s">
        <v>241</v>
      </c>
      <c r="E42" s="108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4"/>
    </row>
    <row r="43" spans="1:17" ht="14.25" x14ac:dyDescent="0.2">
      <c r="A43" s="33" t="s">
        <v>6</v>
      </c>
      <c r="B43" s="115">
        <f>+DataTable!$C$16</f>
        <v>24.305</v>
      </c>
      <c r="C43" s="70"/>
      <c r="D43" s="67" t="s">
        <v>241</v>
      </c>
      <c r="E43" s="109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6"/>
    </row>
    <row r="44" spans="1:17" ht="15" thickBot="1" x14ac:dyDescent="0.25">
      <c r="A44" s="265" t="s">
        <v>5</v>
      </c>
      <c r="B44" s="116">
        <f>+DataTable!C94</f>
        <v>60.008899999999997</v>
      </c>
      <c r="C44" s="42"/>
      <c r="D44" s="71" t="s">
        <v>241</v>
      </c>
      <c r="E44" s="110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7"/>
    </row>
    <row r="45" spans="1:17" x14ac:dyDescent="0.2">
      <c r="A45" s="187"/>
      <c r="B45" s="188"/>
      <c r="C45" s="171"/>
      <c r="D45" s="171"/>
    </row>
    <row r="46" spans="1:17" x14ac:dyDescent="0.2">
      <c r="A46" s="171"/>
      <c r="B46" s="188"/>
      <c r="C46" s="171"/>
      <c r="D46" s="171"/>
    </row>
    <row r="47" spans="1:17" x14ac:dyDescent="0.2">
      <c r="A47" s="171"/>
      <c r="B47" s="171"/>
      <c r="C47" s="171"/>
      <c r="D47" s="171"/>
    </row>
  </sheetData>
  <mergeCells count="14">
    <mergeCell ref="C2:E2"/>
    <mergeCell ref="K2:L2"/>
    <mergeCell ref="P2:Q2"/>
    <mergeCell ref="C11:E11"/>
    <mergeCell ref="A7:B7"/>
    <mergeCell ref="A8:B8"/>
    <mergeCell ref="A9:B9"/>
    <mergeCell ref="A6:B6"/>
    <mergeCell ref="K6:L6"/>
    <mergeCell ref="P6:Q6"/>
    <mergeCell ref="A4:B4"/>
    <mergeCell ref="A5:B5"/>
    <mergeCell ref="K5:L5"/>
    <mergeCell ref="P5:Q5"/>
  </mergeCells>
  <pageMargins left="0.70866141732283472" right="0.70866141732283472" top="0.74803149606299213" bottom="0.74803149606299213" header="0.31496062992125984" footer="0.31496062992125984"/>
  <pageSetup paperSize="8" scale="27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K23"/>
  <sheetViews>
    <sheetView topLeftCell="F1" workbookViewId="0">
      <selection activeCell="E14" sqref="E14"/>
    </sheetView>
  </sheetViews>
  <sheetFormatPr baseColWidth="10" defaultRowHeight="12.75" x14ac:dyDescent="0.2"/>
  <cols>
    <col min="2" max="2" width="16.28515625" bestFit="1" customWidth="1"/>
    <col min="3" max="3" width="16.28515625" customWidth="1"/>
    <col min="4" max="11" width="20.7109375" customWidth="1"/>
    <col min="14" max="14" width="40.85546875" customWidth="1"/>
    <col min="15" max="15" width="19.28515625" customWidth="1"/>
    <col min="16" max="16" width="12.85546875" bestFit="1" customWidth="1"/>
  </cols>
  <sheetData>
    <row r="1" spans="1:11" x14ac:dyDescent="0.2">
      <c r="A1" s="34" t="s">
        <v>273</v>
      </c>
    </row>
    <row r="2" spans="1:11" ht="13.5" thickBot="1" x14ac:dyDescent="0.25"/>
    <row r="3" spans="1:11" ht="15" thickBot="1" x14ac:dyDescent="0.25">
      <c r="B3" s="288" t="s">
        <v>247</v>
      </c>
      <c r="C3" s="289"/>
      <c r="D3" s="290"/>
      <c r="E3" s="290"/>
      <c r="F3" s="290"/>
      <c r="G3" s="290"/>
      <c r="H3" s="290"/>
      <c r="I3" s="290"/>
      <c r="J3" s="291"/>
      <c r="K3" s="292"/>
    </row>
    <row r="4" spans="1:11" ht="13.5" thickBot="1" x14ac:dyDescent="0.25">
      <c r="B4" s="293"/>
      <c r="C4" s="294"/>
      <c r="D4" s="137" t="s">
        <v>246</v>
      </c>
      <c r="E4" s="137" t="s">
        <v>248</v>
      </c>
      <c r="F4" s="138" t="s">
        <v>249</v>
      </c>
      <c r="G4" s="137" t="s">
        <v>250</v>
      </c>
      <c r="H4" s="139" t="s">
        <v>251</v>
      </c>
      <c r="I4" s="139" t="s">
        <v>252</v>
      </c>
      <c r="J4" s="138" t="s">
        <v>254</v>
      </c>
      <c r="K4" s="140" t="s">
        <v>253</v>
      </c>
    </row>
    <row r="5" spans="1:11" ht="13.5" thickBot="1" x14ac:dyDescent="0.25">
      <c r="B5" s="177"/>
      <c r="C5" s="177"/>
      <c r="D5" s="155" t="s">
        <v>272</v>
      </c>
      <c r="E5" s="155"/>
      <c r="F5" s="155"/>
      <c r="G5" s="155"/>
      <c r="H5" s="155"/>
      <c r="I5" s="155"/>
      <c r="J5" s="156"/>
      <c r="K5" s="157"/>
    </row>
    <row r="6" spans="1:11" x14ac:dyDescent="0.2">
      <c r="B6" s="154" t="s">
        <v>79</v>
      </c>
      <c r="C6" s="165" t="s">
        <v>215</v>
      </c>
      <c r="D6" s="155"/>
      <c r="E6" s="155"/>
      <c r="F6" s="155"/>
      <c r="G6" s="155"/>
      <c r="H6" s="155"/>
      <c r="I6" s="155"/>
      <c r="J6" s="156"/>
      <c r="K6" s="157"/>
    </row>
    <row r="7" spans="1:11" x14ac:dyDescent="0.2">
      <c r="B7" s="163" t="s">
        <v>267</v>
      </c>
      <c r="C7" s="164" t="s">
        <v>223</v>
      </c>
      <c r="D7" s="178"/>
      <c r="E7" s="178"/>
      <c r="F7" s="178"/>
      <c r="G7" s="178"/>
      <c r="H7" s="178"/>
      <c r="I7" s="178"/>
      <c r="J7" s="179"/>
      <c r="K7" s="180"/>
    </row>
    <row r="8" spans="1:11" x14ac:dyDescent="0.2">
      <c r="B8" s="161" t="s">
        <v>268</v>
      </c>
      <c r="C8" s="162" t="s">
        <v>255</v>
      </c>
      <c r="D8" s="181"/>
      <c r="E8" s="181"/>
      <c r="F8" s="181"/>
      <c r="G8" s="181"/>
      <c r="H8" s="181"/>
      <c r="I8" s="181"/>
      <c r="J8" s="181"/>
      <c r="K8" s="181"/>
    </row>
    <row r="9" spans="1:11" x14ac:dyDescent="0.2">
      <c r="B9" s="161" t="s">
        <v>270</v>
      </c>
      <c r="C9" s="162" t="s">
        <v>90</v>
      </c>
      <c r="D9" s="182"/>
      <c r="E9" s="182"/>
      <c r="F9" s="182"/>
      <c r="G9" s="182"/>
      <c r="H9" s="182"/>
      <c r="I9" s="182"/>
      <c r="J9" s="182"/>
      <c r="K9" s="182"/>
    </row>
    <row r="10" spans="1:11" x14ac:dyDescent="0.2">
      <c r="B10" s="161" t="s">
        <v>269</v>
      </c>
      <c r="C10" s="162"/>
      <c r="D10" s="183"/>
      <c r="E10" s="183"/>
      <c r="F10" s="183"/>
      <c r="G10" s="183"/>
      <c r="H10" s="183"/>
      <c r="I10" s="183"/>
      <c r="J10" s="184"/>
      <c r="K10" s="185"/>
    </row>
    <row r="11" spans="1:11" x14ac:dyDescent="0.2">
      <c r="B11" s="161" t="s">
        <v>263</v>
      </c>
      <c r="C11" s="162"/>
      <c r="D11" s="183"/>
      <c r="E11" s="183"/>
      <c r="F11" s="183"/>
      <c r="G11" s="183"/>
      <c r="H11" s="183"/>
      <c r="I11" s="183"/>
      <c r="J11" s="183"/>
      <c r="K11" s="183"/>
    </row>
    <row r="12" spans="1:11" ht="14.25" x14ac:dyDescent="0.2">
      <c r="B12" s="161" t="s">
        <v>271</v>
      </c>
      <c r="C12" s="162" t="s">
        <v>90</v>
      </c>
      <c r="D12" s="186"/>
      <c r="E12" s="186"/>
      <c r="F12" s="186"/>
      <c r="G12" s="186"/>
      <c r="H12" s="186"/>
      <c r="I12" s="186"/>
      <c r="J12" s="186"/>
      <c r="K12" s="186"/>
    </row>
    <row r="13" spans="1:11" x14ac:dyDescent="0.2">
      <c r="B13" s="161" t="s">
        <v>257</v>
      </c>
      <c r="C13" s="162"/>
      <c r="D13" s="183"/>
      <c r="E13" s="183"/>
      <c r="F13" s="183"/>
      <c r="G13" s="183"/>
      <c r="H13" s="183"/>
      <c r="I13" s="183"/>
      <c r="J13" s="184"/>
      <c r="K13" s="185"/>
    </row>
    <row r="14" spans="1:11" x14ac:dyDescent="0.2">
      <c r="B14" s="158" t="s">
        <v>258</v>
      </c>
      <c r="C14" s="89" t="s">
        <v>256</v>
      </c>
      <c r="D14" s="142"/>
      <c r="E14" s="142"/>
      <c r="F14" s="142"/>
      <c r="G14" s="142"/>
      <c r="H14" s="142"/>
      <c r="I14" s="142"/>
      <c r="J14" s="151"/>
      <c r="K14" s="143"/>
    </row>
    <row r="15" spans="1:11" x14ac:dyDescent="0.2">
      <c r="B15" s="158" t="s">
        <v>259</v>
      </c>
      <c r="C15" s="89" t="s">
        <v>260</v>
      </c>
      <c r="D15" s="142"/>
      <c r="E15" s="142"/>
      <c r="F15" s="142"/>
      <c r="G15" s="142"/>
      <c r="H15" s="142"/>
      <c r="I15" s="142"/>
      <c r="J15" s="151"/>
      <c r="K15" s="143"/>
    </row>
    <row r="16" spans="1:11" x14ac:dyDescent="0.2">
      <c r="B16" s="141" t="s">
        <v>244</v>
      </c>
      <c r="C16" s="159"/>
      <c r="D16" s="142"/>
      <c r="E16" s="142"/>
      <c r="F16" s="142"/>
      <c r="G16" s="142"/>
      <c r="H16" s="142"/>
      <c r="I16" s="142"/>
      <c r="J16" s="151"/>
      <c r="K16" s="143"/>
    </row>
    <row r="17" spans="2:11" ht="14.25" x14ac:dyDescent="0.2">
      <c r="B17" s="158" t="s">
        <v>261</v>
      </c>
      <c r="C17" s="89" t="s">
        <v>262</v>
      </c>
      <c r="D17" s="142"/>
      <c r="E17" s="142"/>
      <c r="F17" s="144"/>
      <c r="G17" s="144"/>
      <c r="H17" s="142"/>
      <c r="I17" s="142"/>
      <c r="J17" s="151"/>
      <c r="K17" s="145"/>
    </row>
    <row r="18" spans="2:11" x14ac:dyDescent="0.2">
      <c r="B18" s="158" t="s">
        <v>221</v>
      </c>
      <c r="C18" s="159"/>
      <c r="D18" s="142"/>
      <c r="E18" s="142"/>
      <c r="F18" s="142"/>
      <c r="G18" s="142"/>
      <c r="H18" s="142"/>
      <c r="I18" s="142"/>
      <c r="J18" s="151"/>
      <c r="K18" s="143"/>
    </row>
    <row r="19" spans="2:11" x14ac:dyDescent="0.2">
      <c r="B19" s="158" t="s">
        <v>222</v>
      </c>
      <c r="C19" s="159"/>
      <c r="D19" s="142"/>
      <c r="E19" s="142"/>
      <c r="F19" s="142"/>
      <c r="G19" s="142"/>
      <c r="H19" s="142"/>
      <c r="I19" s="142"/>
      <c r="J19" s="151"/>
      <c r="K19" s="143"/>
    </row>
    <row r="20" spans="2:11" x14ac:dyDescent="0.2">
      <c r="B20" s="141"/>
      <c r="C20" s="159"/>
      <c r="D20" s="142"/>
      <c r="E20" s="142"/>
      <c r="F20" s="142"/>
      <c r="G20" s="142"/>
      <c r="H20" s="142"/>
      <c r="I20" s="142"/>
      <c r="J20" s="151"/>
      <c r="K20" s="143"/>
    </row>
    <row r="21" spans="2:11" ht="14.25" x14ac:dyDescent="0.2">
      <c r="B21" s="141" t="s">
        <v>245</v>
      </c>
      <c r="C21" s="159"/>
      <c r="D21" s="142"/>
      <c r="E21" s="142"/>
      <c r="F21" s="142"/>
      <c r="G21" s="142"/>
      <c r="H21" s="142"/>
      <c r="I21" s="146"/>
      <c r="J21" s="152"/>
      <c r="K21" s="147"/>
    </row>
    <row r="22" spans="2:11" x14ac:dyDescent="0.2">
      <c r="B22" s="158" t="s">
        <v>265</v>
      </c>
      <c r="C22" s="159"/>
      <c r="D22" s="142"/>
      <c r="E22" s="142"/>
      <c r="F22" s="142"/>
      <c r="G22" s="142"/>
      <c r="H22" s="142"/>
      <c r="I22" s="142"/>
      <c r="J22" s="151"/>
      <c r="K22" s="143"/>
    </row>
    <row r="23" spans="2:11" ht="13.5" thickBot="1" x14ac:dyDescent="0.25">
      <c r="B23" s="176" t="s">
        <v>266</v>
      </c>
      <c r="C23" s="160"/>
      <c r="D23" s="148"/>
      <c r="E23" s="148"/>
      <c r="F23" s="148"/>
      <c r="G23" s="148"/>
      <c r="H23" s="149"/>
      <c r="I23" s="149"/>
      <c r="J23" s="153"/>
      <c r="K23" s="150"/>
    </row>
  </sheetData>
  <mergeCells count="2">
    <mergeCell ref="B3:K3"/>
    <mergeCell ref="B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H143"/>
  <sheetViews>
    <sheetView topLeftCell="A97" workbookViewId="0">
      <selection activeCell="K10" sqref="K10"/>
    </sheetView>
  </sheetViews>
  <sheetFormatPr baseColWidth="10" defaultColWidth="11.42578125" defaultRowHeight="12.75" x14ac:dyDescent="0.2"/>
  <cols>
    <col min="1" max="1" width="6.85546875" customWidth="1"/>
    <col min="2" max="2" width="28.28515625" bestFit="1" customWidth="1"/>
    <col min="3" max="3" width="16.140625" customWidth="1"/>
    <col min="4" max="4" width="14.5703125" bestFit="1" customWidth="1"/>
    <col min="5" max="5" width="13.85546875" bestFit="1" customWidth="1"/>
    <col min="6" max="6" width="18.140625" customWidth="1"/>
    <col min="8" max="8" width="10.7109375" customWidth="1"/>
  </cols>
  <sheetData>
    <row r="1" spans="1:6" ht="15" x14ac:dyDescent="0.3">
      <c r="A1" s="3" t="s">
        <v>63</v>
      </c>
    </row>
    <row r="2" spans="1:6" ht="13.5" thickBot="1" x14ac:dyDescent="0.25"/>
    <row r="3" spans="1:6" x14ac:dyDescent="0.2">
      <c r="A3" s="297" t="s">
        <v>20</v>
      </c>
      <c r="B3" s="297" t="s">
        <v>64</v>
      </c>
      <c r="C3" s="295" t="s">
        <v>65</v>
      </c>
      <c r="D3" s="21" t="s">
        <v>99</v>
      </c>
      <c r="E3" s="20" t="s">
        <v>98</v>
      </c>
      <c r="F3" s="24" t="s">
        <v>112</v>
      </c>
    </row>
    <row r="4" spans="1:6" ht="13.5" thickBot="1" x14ac:dyDescent="0.25">
      <c r="A4" s="298"/>
      <c r="B4" s="298"/>
      <c r="C4" s="296"/>
      <c r="D4" s="23" t="s">
        <v>113</v>
      </c>
      <c r="E4" s="22" t="s">
        <v>113</v>
      </c>
      <c r="F4" s="25"/>
    </row>
    <row r="5" spans="1:6" x14ac:dyDescent="0.2">
      <c r="A5" s="50">
        <v>1</v>
      </c>
      <c r="B5" s="51" t="s">
        <v>144</v>
      </c>
      <c r="C5" s="26">
        <v>1.0079400000000001</v>
      </c>
      <c r="D5" s="26"/>
      <c r="E5" s="26"/>
      <c r="F5" s="52"/>
    </row>
    <row r="6" spans="1:6" x14ac:dyDescent="0.2">
      <c r="A6" s="50">
        <v>2</v>
      </c>
      <c r="B6" s="51" t="s">
        <v>145</v>
      </c>
      <c r="C6" s="26">
        <v>4.0026020000000004</v>
      </c>
      <c r="D6" s="26"/>
      <c r="E6" s="26"/>
      <c r="F6" s="52"/>
    </row>
    <row r="7" spans="1:6" x14ac:dyDescent="0.2">
      <c r="A7" s="50">
        <v>3</v>
      </c>
      <c r="B7" s="51" t="s">
        <v>89</v>
      </c>
      <c r="C7" s="26">
        <v>6.9409999999999998</v>
      </c>
      <c r="D7" s="26"/>
      <c r="E7" s="26"/>
      <c r="F7" s="52"/>
    </row>
    <row r="8" spans="1:6" x14ac:dyDescent="0.2">
      <c r="A8" s="50">
        <v>4</v>
      </c>
      <c r="B8" s="51" t="s">
        <v>146</v>
      </c>
      <c r="C8" s="26">
        <v>9.0121819999999992</v>
      </c>
      <c r="D8" s="26"/>
      <c r="E8" s="26"/>
      <c r="F8" s="52"/>
    </row>
    <row r="9" spans="1:6" x14ac:dyDescent="0.2">
      <c r="A9" s="50">
        <v>5</v>
      </c>
      <c r="B9" s="51" t="s">
        <v>34</v>
      </c>
      <c r="C9" s="26">
        <v>10.811</v>
      </c>
      <c r="D9" s="26"/>
      <c r="E9" s="26"/>
      <c r="F9" s="52"/>
    </row>
    <row r="10" spans="1:6" x14ac:dyDescent="0.2">
      <c r="A10" s="50">
        <v>6</v>
      </c>
      <c r="B10" s="51" t="s">
        <v>0</v>
      </c>
      <c r="C10" s="26">
        <v>12.0107</v>
      </c>
      <c r="D10" s="26"/>
      <c r="E10" s="26"/>
      <c r="F10" s="52"/>
    </row>
    <row r="11" spans="1:6" x14ac:dyDescent="0.2">
      <c r="A11" s="50">
        <v>7</v>
      </c>
      <c r="B11" s="51" t="s">
        <v>2</v>
      </c>
      <c r="C11" s="26">
        <v>14.0067</v>
      </c>
      <c r="D11" s="26"/>
      <c r="E11" s="26"/>
      <c r="F11" s="52"/>
    </row>
    <row r="12" spans="1:6" x14ac:dyDescent="0.2">
      <c r="A12" s="50">
        <v>8</v>
      </c>
      <c r="B12" s="51" t="s">
        <v>11</v>
      </c>
      <c r="C12" s="26">
        <v>15.9994</v>
      </c>
      <c r="D12" s="26"/>
      <c r="E12" s="26"/>
      <c r="F12" s="52"/>
    </row>
    <row r="13" spans="1:6" x14ac:dyDescent="0.2">
      <c r="A13" s="50">
        <v>9</v>
      </c>
      <c r="B13" s="51" t="s">
        <v>147</v>
      </c>
      <c r="C13" s="26">
        <v>18.998403199999998</v>
      </c>
      <c r="D13" s="26"/>
      <c r="E13" s="26"/>
      <c r="F13" s="52"/>
    </row>
    <row r="14" spans="1:6" x14ac:dyDescent="0.2">
      <c r="A14" s="50">
        <v>10</v>
      </c>
      <c r="B14" s="51" t="s">
        <v>148</v>
      </c>
      <c r="C14" s="26">
        <v>20.1797</v>
      </c>
      <c r="D14" s="26"/>
      <c r="E14" s="26"/>
      <c r="F14" s="52"/>
    </row>
    <row r="15" spans="1:6" x14ac:dyDescent="0.2">
      <c r="A15" s="50">
        <v>11</v>
      </c>
      <c r="B15" s="51" t="s">
        <v>149</v>
      </c>
      <c r="C15" s="26">
        <v>22.989769280000001</v>
      </c>
      <c r="D15" s="26"/>
      <c r="E15" s="26"/>
      <c r="F15" s="52"/>
    </row>
    <row r="16" spans="1:6" x14ac:dyDescent="0.2">
      <c r="A16" s="50">
        <v>12</v>
      </c>
      <c r="B16" s="51" t="s">
        <v>150</v>
      </c>
      <c r="C16" s="26">
        <v>24.305</v>
      </c>
      <c r="D16" s="26"/>
      <c r="E16" s="26"/>
      <c r="F16" s="52"/>
    </row>
    <row r="17" spans="1:8" x14ac:dyDescent="0.2">
      <c r="A17" s="50">
        <v>13</v>
      </c>
      <c r="B17" s="51" t="s">
        <v>88</v>
      </c>
      <c r="C17" s="26">
        <v>26.9815386</v>
      </c>
      <c r="D17" s="26"/>
      <c r="E17" s="26"/>
      <c r="F17" s="52"/>
    </row>
    <row r="18" spans="1:8" x14ac:dyDescent="0.2">
      <c r="A18" s="50">
        <v>14</v>
      </c>
      <c r="B18" s="51" t="s">
        <v>87</v>
      </c>
      <c r="C18" s="26">
        <v>28.0855</v>
      </c>
      <c r="D18" s="26"/>
      <c r="E18" s="26"/>
      <c r="F18" s="52"/>
    </row>
    <row r="19" spans="1:8" x14ac:dyDescent="0.2">
      <c r="A19" s="50">
        <v>15</v>
      </c>
      <c r="B19" s="51" t="s">
        <v>151</v>
      </c>
      <c r="C19" s="26">
        <v>30.973762000000001</v>
      </c>
      <c r="D19" s="26"/>
      <c r="E19" s="26"/>
      <c r="F19" s="52"/>
    </row>
    <row r="20" spans="1:8" x14ac:dyDescent="0.2">
      <c r="A20" s="50">
        <v>16</v>
      </c>
      <c r="B20" s="51" t="s">
        <v>12</v>
      </c>
      <c r="C20" s="26">
        <v>32.064999999999998</v>
      </c>
      <c r="D20" s="26"/>
      <c r="E20" s="26"/>
      <c r="F20" s="52"/>
    </row>
    <row r="21" spans="1:8" x14ac:dyDescent="0.2">
      <c r="A21" s="50">
        <v>17</v>
      </c>
      <c r="B21" s="51" t="s">
        <v>152</v>
      </c>
      <c r="C21" s="26">
        <v>35.453000000000003</v>
      </c>
      <c r="D21" s="26"/>
      <c r="E21" s="26"/>
      <c r="F21" s="52"/>
    </row>
    <row r="22" spans="1:8" x14ac:dyDescent="0.2">
      <c r="A22" s="50">
        <v>18</v>
      </c>
      <c r="B22" s="51" t="s">
        <v>153</v>
      </c>
      <c r="C22" s="26">
        <v>39.948</v>
      </c>
      <c r="D22" s="26"/>
      <c r="E22" s="26"/>
      <c r="F22" s="52"/>
    </row>
    <row r="23" spans="1:8" x14ac:dyDescent="0.2">
      <c r="A23" s="50">
        <v>19</v>
      </c>
      <c r="B23" s="51" t="s">
        <v>154</v>
      </c>
      <c r="C23" s="26">
        <v>39.098300000000002</v>
      </c>
      <c r="D23" s="26"/>
      <c r="E23" s="26"/>
      <c r="F23" s="52"/>
      <c r="H23" s="4"/>
    </row>
    <row r="24" spans="1:8" x14ac:dyDescent="0.2">
      <c r="A24" s="50">
        <v>20</v>
      </c>
      <c r="B24" s="51" t="s">
        <v>155</v>
      </c>
      <c r="C24" s="26">
        <v>40.078000000000003</v>
      </c>
      <c r="D24" s="26"/>
      <c r="E24" s="26"/>
      <c r="F24" s="52"/>
    </row>
    <row r="25" spans="1:8" x14ac:dyDescent="0.2">
      <c r="A25" s="50">
        <v>21</v>
      </c>
      <c r="B25" s="51" t="s">
        <v>156</v>
      </c>
      <c r="C25" s="26">
        <v>44.955911999999998</v>
      </c>
      <c r="D25" s="26"/>
      <c r="E25" s="26"/>
      <c r="F25" s="52"/>
    </row>
    <row r="26" spans="1:8" x14ac:dyDescent="0.2">
      <c r="A26" s="50">
        <v>22</v>
      </c>
      <c r="B26" s="51" t="s">
        <v>157</v>
      </c>
      <c r="C26" s="26">
        <v>47.866999999999997</v>
      </c>
      <c r="D26" s="26"/>
      <c r="E26" s="26"/>
      <c r="F26" s="52"/>
    </row>
    <row r="27" spans="1:8" x14ac:dyDescent="0.2">
      <c r="A27" s="50">
        <v>23</v>
      </c>
      <c r="B27" s="51" t="s">
        <v>158</v>
      </c>
      <c r="C27" s="26">
        <v>50.941499999999998</v>
      </c>
      <c r="D27" s="26"/>
      <c r="E27" s="26"/>
      <c r="F27" s="52"/>
    </row>
    <row r="28" spans="1:8" x14ac:dyDescent="0.2">
      <c r="A28" s="50">
        <v>24</v>
      </c>
      <c r="B28" s="51" t="s">
        <v>159</v>
      </c>
      <c r="C28" s="26">
        <v>51.996099999999998</v>
      </c>
      <c r="D28" s="26"/>
      <c r="E28" s="26"/>
      <c r="F28" s="52"/>
    </row>
    <row r="29" spans="1:8" x14ac:dyDescent="0.2">
      <c r="A29" s="50">
        <v>25</v>
      </c>
      <c r="B29" s="51" t="s">
        <v>160</v>
      </c>
      <c r="C29" s="26">
        <v>54.938045000000002</v>
      </c>
      <c r="D29" s="26"/>
      <c r="E29" s="26"/>
      <c r="F29" s="52"/>
    </row>
    <row r="30" spans="1:8" x14ac:dyDescent="0.2">
      <c r="A30" s="50">
        <v>26</v>
      </c>
      <c r="B30" s="51" t="s">
        <v>66</v>
      </c>
      <c r="C30" s="26">
        <v>55.844999999999999</v>
      </c>
      <c r="D30" s="26"/>
      <c r="E30" s="26"/>
      <c r="F30" s="52"/>
    </row>
    <row r="31" spans="1:8" x14ac:dyDescent="0.2">
      <c r="A31" s="50">
        <v>27</v>
      </c>
      <c r="B31" s="51" t="s">
        <v>161</v>
      </c>
      <c r="C31" s="26">
        <v>58.933194999999998</v>
      </c>
      <c r="D31" s="26"/>
      <c r="E31" s="26"/>
      <c r="F31" s="52"/>
    </row>
    <row r="32" spans="1:8" x14ac:dyDescent="0.2">
      <c r="A32" s="50">
        <v>28</v>
      </c>
      <c r="B32" s="51" t="s">
        <v>162</v>
      </c>
      <c r="C32" s="26">
        <v>58.693399999999997</v>
      </c>
      <c r="D32" s="26"/>
      <c r="E32" s="26"/>
      <c r="F32" s="52"/>
    </row>
    <row r="33" spans="1:6" x14ac:dyDescent="0.2">
      <c r="A33" s="50">
        <v>29</v>
      </c>
      <c r="B33" s="51" t="s">
        <v>163</v>
      </c>
      <c r="C33" s="26">
        <v>63.545999999999999</v>
      </c>
      <c r="D33" s="26"/>
      <c r="E33" s="26"/>
      <c r="F33" s="52"/>
    </row>
    <row r="34" spans="1:6" x14ac:dyDescent="0.2">
      <c r="A34" s="50">
        <v>30</v>
      </c>
      <c r="B34" s="51" t="s">
        <v>164</v>
      </c>
      <c r="C34" s="26">
        <v>65.38</v>
      </c>
      <c r="D34" s="26"/>
      <c r="E34" s="26"/>
      <c r="F34" s="52"/>
    </row>
    <row r="35" spans="1:6" x14ac:dyDescent="0.2">
      <c r="A35" s="50">
        <v>31</v>
      </c>
      <c r="B35" s="51" t="s">
        <v>165</v>
      </c>
      <c r="C35" s="26">
        <v>69.722999999999999</v>
      </c>
      <c r="D35" s="26"/>
      <c r="E35" s="26"/>
      <c r="F35" s="52"/>
    </row>
    <row r="36" spans="1:6" x14ac:dyDescent="0.2">
      <c r="A36" s="50">
        <v>32</v>
      </c>
      <c r="B36" s="51" t="s">
        <v>166</v>
      </c>
      <c r="C36" s="26">
        <v>72.63</v>
      </c>
      <c r="D36" s="26"/>
      <c r="E36" s="26"/>
      <c r="F36" s="52"/>
    </row>
    <row r="37" spans="1:6" x14ac:dyDescent="0.2">
      <c r="A37" s="50">
        <v>33</v>
      </c>
      <c r="B37" s="51" t="s">
        <v>167</v>
      </c>
      <c r="C37" s="26">
        <v>74.921599999999998</v>
      </c>
      <c r="D37" s="26"/>
      <c r="E37" s="26"/>
      <c r="F37" s="52"/>
    </row>
    <row r="38" spans="1:6" x14ac:dyDescent="0.2">
      <c r="A38" s="50">
        <v>34</v>
      </c>
      <c r="B38" s="51" t="s">
        <v>168</v>
      </c>
      <c r="C38" s="26">
        <v>78.959999999999994</v>
      </c>
      <c r="D38" s="26"/>
      <c r="E38" s="26"/>
      <c r="F38" s="52"/>
    </row>
    <row r="39" spans="1:6" x14ac:dyDescent="0.2">
      <c r="A39" s="50">
        <v>35</v>
      </c>
      <c r="B39" s="51" t="s">
        <v>67</v>
      </c>
      <c r="C39" s="26">
        <v>79.903999999999996</v>
      </c>
      <c r="D39" s="26"/>
      <c r="E39" s="26"/>
      <c r="F39" s="52"/>
    </row>
    <row r="40" spans="1:6" x14ac:dyDescent="0.2">
      <c r="A40" s="50">
        <v>36</v>
      </c>
      <c r="B40" s="51" t="s">
        <v>169</v>
      </c>
      <c r="C40" s="26">
        <v>83.798000000000002</v>
      </c>
      <c r="D40" s="26"/>
      <c r="E40" s="26"/>
      <c r="F40" s="52"/>
    </row>
    <row r="41" spans="1:6" x14ac:dyDescent="0.2">
      <c r="A41" s="50">
        <v>37</v>
      </c>
      <c r="B41" s="51" t="s">
        <v>170</v>
      </c>
      <c r="C41" s="26">
        <v>85.467799999999997</v>
      </c>
      <c r="D41" s="26"/>
      <c r="E41" s="26"/>
      <c r="F41" s="52"/>
    </row>
    <row r="42" spans="1:6" x14ac:dyDescent="0.2">
      <c r="A42" s="50">
        <v>38</v>
      </c>
      <c r="B42" s="51" t="s">
        <v>171</v>
      </c>
      <c r="C42" s="26">
        <v>87.62</v>
      </c>
      <c r="D42" s="26"/>
      <c r="E42" s="26"/>
      <c r="F42" s="52"/>
    </row>
    <row r="43" spans="1:6" x14ac:dyDescent="0.2">
      <c r="A43" s="50">
        <v>39</v>
      </c>
      <c r="B43" s="51" t="s">
        <v>172</v>
      </c>
      <c r="C43" s="26">
        <v>88.905850000000001</v>
      </c>
      <c r="D43" s="26"/>
      <c r="E43" s="26"/>
      <c r="F43" s="52"/>
    </row>
    <row r="44" spans="1:6" x14ac:dyDescent="0.2">
      <c r="A44" s="50">
        <v>40</v>
      </c>
      <c r="B44" s="51" t="s">
        <v>173</v>
      </c>
      <c r="C44" s="26">
        <v>91.224000000000004</v>
      </c>
      <c r="D44" s="26"/>
      <c r="E44" s="26"/>
      <c r="F44" s="52"/>
    </row>
    <row r="45" spans="1:6" x14ac:dyDescent="0.2">
      <c r="A45" s="50">
        <v>41</v>
      </c>
      <c r="B45" s="51" t="s">
        <v>174</v>
      </c>
      <c r="C45" s="26">
        <v>92.906379999999999</v>
      </c>
      <c r="D45" s="26"/>
      <c r="E45" s="26"/>
      <c r="F45" s="52"/>
    </row>
    <row r="46" spans="1:6" x14ac:dyDescent="0.2">
      <c r="A46" s="50">
        <v>42</v>
      </c>
      <c r="B46" s="51" t="s">
        <v>175</v>
      </c>
      <c r="C46" s="26">
        <v>95.96</v>
      </c>
      <c r="D46" s="26"/>
      <c r="E46" s="26"/>
      <c r="F46" s="52"/>
    </row>
    <row r="47" spans="1:6" x14ac:dyDescent="0.2">
      <c r="A47" s="50">
        <v>43</v>
      </c>
      <c r="B47" s="51" t="s">
        <v>176</v>
      </c>
      <c r="C47" s="26">
        <v>98</v>
      </c>
      <c r="D47" s="26"/>
      <c r="E47" s="26"/>
      <c r="F47" s="52"/>
    </row>
    <row r="48" spans="1:6" x14ac:dyDescent="0.2">
      <c r="A48" s="50">
        <v>44</v>
      </c>
      <c r="B48" s="51" t="s">
        <v>177</v>
      </c>
      <c r="C48" s="26">
        <v>101.07</v>
      </c>
      <c r="D48" s="26"/>
      <c r="E48" s="26"/>
      <c r="F48" s="52"/>
    </row>
    <row r="49" spans="1:6" x14ac:dyDescent="0.2">
      <c r="A49" s="50">
        <v>45</v>
      </c>
      <c r="B49" s="51" t="s">
        <v>178</v>
      </c>
      <c r="C49" s="26">
        <v>102.9055</v>
      </c>
      <c r="D49" s="26"/>
      <c r="E49" s="26"/>
      <c r="F49" s="52"/>
    </row>
    <row r="50" spans="1:6" x14ac:dyDescent="0.2">
      <c r="A50" s="50">
        <v>46</v>
      </c>
      <c r="B50" s="51" t="s">
        <v>179</v>
      </c>
      <c r="C50" s="26">
        <v>106.42</v>
      </c>
      <c r="D50" s="26"/>
      <c r="E50" s="26"/>
      <c r="F50" s="52"/>
    </row>
    <row r="51" spans="1:6" x14ac:dyDescent="0.2">
      <c r="A51" s="50">
        <v>47</v>
      </c>
      <c r="B51" s="51" t="s">
        <v>180</v>
      </c>
      <c r="C51" s="26">
        <v>107.8682</v>
      </c>
      <c r="D51" s="26"/>
      <c r="E51" s="26"/>
      <c r="F51" s="52"/>
    </row>
    <row r="52" spans="1:6" x14ac:dyDescent="0.2">
      <c r="A52" s="50">
        <v>48</v>
      </c>
      <c r="B52" s="51" t="s">
        <v>181</v>
      </c>
      <c r="C52" s="26">
        <v>112.411</v>
      </c>
      <c r="D52" s="26"/>
      <c r="E52" s="26"/>
      <c r="F52" s="52"/>
    </row>
    <row r="53" spans="1:6" x14ac:dyDescent="0.2">
      <c r="A53" s="50">
        <v>49</v>
      </c>
      <c r="B53" s="51" t="s">
        <v>182</v>
      </c>
      <c r="C53" s="26">
        <v>114.818</v>
      </c>
      <c r="D53" s="26"/>
      <c r="E53" s="26"/>
      <c r="F53" s="52"/>
    </row>
    <row r="54" spans="1:6" x14ac:dyDescent="0.2">
      <c r="A54" s="50">
        <v>50</v>
      </c>
      <c r="B54" s="51" t="s">
        <v>183</v>
      </c>
      <c r="C54" s="26">
        <v>118.71</v>
      </c>
      <c r="D54" s="26"/>
      <c r="E54" s="26"/>
      <c r="F54" s="52"/>
    </row>
    <row r="55" spans="1:6" x14ac:dyDescent="0.2">
      <c r="A55" s="50">
        <v>51</v>
      </c>
      <c r="B55" s="51" t="s">
        <v>184</v>
      </c>
      <c r="C55" s="26">
        <v>121.76</v>
      </c>
      <c r="D55" s="26"/>
      <c r="E55" s="26"/>
      <c r="F55" s="52"/>
    </row>
    <row r="56" spans="1:6" x14ac:dyDescent="0.2">
      <c r="A56" s="50">
        <v>52</v>
      </c>
      <c r="B56" s="51" t="s">
        <v>185</v>
      </c>
      <c r="C56" s="26">
        <v>127.6</v>
      </c>
      <c r="D56" s="26"/>
      <c r="E56" s="26"/>
      <c r="F56" s="52"/>
    </row>
    <row r="57" spans="1:6" x14ac:dyDescent="0.2">
      <c r="A57" s="50">
        <v>53</v>
      </c>
      <c r="B57" s="51" t="s">
        <v>68</v>
      </c>
      <c r="C57" s="26">
        <v>126.90447</v>
      </c>
      <c r="D57" s="26"/>
      <c r="E57" s="26"/>
      <c r="F57" s="52"/>
    </row>
    <row r="58" spans="1:6" x14ac:dyDescent="0.2">
      <c r="A58" s="50">
        <v>54</v>
      </c>
      <c r="B58" s="51" t="s">
        <v>186</v>
      </c>
      <c r="C58" s="26">
        <v>131.29300000000001</v>
      </c>
      <c r="D58" s="26"/>
      <c r="E58" s="26"/>
      <c r="F58" s="52"/>
    </row>
    <row r="59" spans="1:6" x14ac:dyDescent="0.2">
      <c r="A59" s="50">
        <v>55</v>
      </c>
      <c r="B59" s="51" t="s">
        <v>187</v>
      </c>
      <c r="C59" s="26">
        <v>132.90545</v>
      </c>
      <c r="D59" s="26"/>
      <c r="E59" s="26"/>
      <c r="F59" s="52"/>
    </row>
    <row r="60" spans="1:6" x14ac:dyDescent="0.2">
      <c r="A60" s="50">
        <v>56</v>
      </c>
      <c r="B60" s="51" t="s">
        <v>188</v>
      </c>
      <c r="C60" s="26">
        <v>137.327</v>
      </c>
      <c r="D60" s="26"/>
      <c r="E60" s="26"/>
      <c r="F60" s="52"/>
    </row>
    <row r="61" spans="1:6" x14ac:dyDescent="0.2">
      <c r="A61" s="53"/>
      <c r="B61" s="54"/>
      <c r="C61" s="55"/>
      <c r="D61" s="55"/>
      <c r="E61" s="55"/>
      <c r="F61" s="56"/>
    </row>
    <row r="62" spans="1:6" x14ac:dyDescent="0.2">
      <c r="A62" s="50">
        <v>57</v>
      </c>
      <c r="B62" s="51" t="s">
        <v>29</v>
      </c>
      <c r="C62" s="27">
        <f>2*C5</f>
        <v>2.0158800000000001</v>
      </c>
      <c r="D62" s="27"/>
      <c r="E62" s="27"/>
      <c r="F62" s="52"/>
    </row>
    <row r="63" spans="1:6" x14ac:dyDescent="0.2">
      <c r="A63" s="50">
        <v>58</v>
      </c>
      <c r="B63" s="51" t="s">
        <v>70</v>
      </c>
      <c r="C63" s="27">
        <f>2*C11</f>
        <v>28.013400000000001</v>
      </c>
      <c r="D63" s="27"/>
      <c r="E63" s="27"/>
      <c r="F63" s="52"/>
    </row>
    <row r="64" spans="1:6" x14ac:dyDescent="0.2">
      <c r="A64" s="50">
        <v>59</v>
      </c>
      <c r="B64" s="51" t="s">
        <v>30</v>
      </c>
      <c r="C64" s="27">
        <f>2*C12</f>
        <v>31.998799999999999</v>
      </c>
      <c r="D64" s="27"/>
      <c r="E64" s="27"/>
      <c r="F64" s="52"/>
    </row>
    <row r="65" spans="1:6" x14ac:dyDescent="0.2">
      <c r="A65" s="50">
        <v>60</v>
      </c>
      <c r="B65" s="51" t="s">
        <v>31</v>
      </c>
      <c r="C65" s="27">
        <f>2*C21</f>
        <v>70.906000000000006</v>
      </c>
      <c r="D65" s="27"/>
      <c r="E65" s="27"/>
      <c r="F65" s="52"/>
    </row>
    <row r="66" spans="1:6" x14ac:dyDescent="0.2">
      <c r="A66" s="50">
        <v>61</v>
      </c>
      <c r="B66" s="51" t="s">
        <v>100</v>
      </c>
      <c r="C66" s="27">
        <f>2*C5+C12</f>
        <v>18.015280000000001</v>
      </c>
      <c r="D66" s="27">
        <v>-285.98</v>
      </c>
      <c r="E66" s="27">
        <v>-237.3</v>
      </c>
      <c r="F66" s="52"/>
    </row>
    <row r="67" spans="1:6" x14ac:dyDescent="0.2">
      <c r="A67" s="50"/>
      <c r="B67" s="57" t="s">
        <v>133</v>
      </c>
      <c r="C67" s="27">
        <f>+C5+C12</f>
        <v>17.007339999999999</v>
      </c>
      <c r="D67" s="27"/>
      <c r="E67" s="27"/>
      <c r="F67" s="52"/>
    </row>
    <row r="68" spans="1:6" x14ac:dyDescent="0.2">
      <c r="A68" s="50">
        <v>62</v>
      </c>
      <c r="B68" s="57" t="s">
        <v>101</v>
      </c>
      <c r="C68" s="27">
        <f>+C5+C21</f>
        <v>36.460940000000001</v>
      </c>
      <c r="D68" s="27">
        <v>-92.36</v>
      </c>
      <c r="E68" s="27">
        <v>-95.35</v>
      </c>
      <c r="F68" s="52"/>
    </row>
    <row r="69" spans="1:6" x14ac:dyDescent="0.2">
      <c r="A69" s="50">
        <v>63</v>
      </c>
      <c r="B69" s="57" t="s">
        <v>102</v>
      </c>
      <c r="C69" s="27">
        <f>+C5+C21</f>
        <v>36.460940000000001</v>
      </c>
      <c r="D69" s="27">
        <v>-166.81209999999999</v>
      </c>
      <c r="E69" s="27">
        <v>-131.15</v>
      </c>
      <c r="F69" s="52"/>
    </row>
    <row r="70" spans="1:6" x14ac:dyDescent="0.2">
      <c r="A70" s="50"/>
      <c r="B70" s="58" t="s">
        <v>225</v>
      </c>
      <c r="C70" s="27">
        <f>+C5+C39</f>
        <v>80.911940000000001</v>
      </c>
      <c r="D70" s="27"/>
      <c r="E70" s="27"/>
      <c r="F70" s="52"/>
    </row>
    <row r="71" spans="1:6" x14ac:dyDescent="0.2">
      <c r="A71" s="50">
        <v>64</v>
      </c>
      <c r="B71" s="57" t="s">
        <v>122</v>
      </c>
      <c r="C71" s="27">
        <f>+C11+3*C5</f>
        <v>17.030519999999999</v>
      </c>
      <c r="D71" s="27"/>
      <c r="E71" s="27"/>
      <c r="F71" s="52"/>
    </row>
    <row r="72" spans="1:6" x14ac:dyDescent="0.2">
      <c r="A72" s="50"/>
      <c r="B72" s="57" t="s">
        <v>140</v>
      </c>
      <c r="C72" s="27">
        <f>+C11+4*C5</f>
        <v>18.038460000000001</v>
      </c>
      <c r="D72" s="27"/>
      <c r="E72" s="27"/>
      <c r="F72" s="52"/>
    </row>
    <row r="73" spans="1:6" x14ac:dyDescent="0.2">
      <c r="A73" s="50">
        <v>65</v>
      </c>
      <c r="B73" s="57" t="s">
        <v>143</v>
      </c>
      <c r="C73" s="27">
        <f>+C11+4*C5+C12+C5</f>
        <v>35.0458</v>
      </c>
      <c r="D73" s="27"/>
      <c r="E73" s="27"/>
      <c r="F73" s="52"/>
    </row>
    <row r="74" spans="1:6" x14ac:dyDescent="0.2">
      <c r="A74" s="50">
        <v>66</v>
      </c>
      <c r="B74" s="57" t="s">
        <v>123</v>
      </c>
      <c r="C74" s="27">
        <f>+C11+4*C5+C21</f>
        <v>53.491460000000004</v>
      </c>
      <c r="D74" s="27"/>
      <c r="E74" s="27"/>
      <c r="F74" s="52"/>
    </row>
    <row r="75" spans="1:6" x14ac:dyDescent="0.2">
      <c r="A75" s="50"/>
      <c r="B75" s="57" t="s">
        <v>137</v>
      </c>
      <c r="C75" s="27">
        <f>+C11+4*C5+C5+C10+3*C12</f>
        <v>79.055300000000003</v>
      </c>
      <c r="D75" s="27"/>
      <c r="E75" s="27"/>
      <c r="F75" s="52"/>
    </row>
    <row r="76" spans="1:6" x14ac:dyDescent="0.2">
      <c r="A76" s="50"/>
      <c r="B76" s="57" t="s">
        <v>141</v>
      </c>
      <c r="C76" s="27">
        <f>2*(C11+4*C5)+C10+3*C12</f>
        <v>96.085819999999998</v>
      </c>
      <c r="D76" s="27"/>
      <c r="E76" s="27"/>
      <c r="F76" s="52"/>
    </row>
    <row r="77" spans="1:6" x14ac:dyDescent="0.2">
      <c r="A77" s="50">
        <v>67</v>
      </c>
      <c r="B77" s="57" t="s">
        <v>138</v>
      </c>
      <c r="C77" s="27">
        <f>2*(C11+4*C5)+C20+4*C12</f>
        <v>132.13952</v>
      </c>
      <c r="D77" s="27"/>
      <c r="E77" s="27"/>
      <c r="F77" s="52"/>
    </row>
    <row r="78" spans="1:6" x14ac:dyDescent="0.2">
      <c r="A78" s="50"/>
      <c r="B78" s="58" t="s">
        <v>226</v>
      </c>
      <c r="C78" s="27">
        <f>+C7+C39</f>
        <v>86.844999999999999</v>
      </c>
      <c r="D78" s="27"/>
      <c r="E78" s="27"/>
      <c r="F78" s="52"/>
    </row>
    <row r="79" spans="1:6" x14ac:dyDescent="0.2">
      <c r="A79" s="50">
        <v>68</v>
      </c>
      <c r="B79" s="57" t="s">
        <v>32</v>
      </c>
      <c r="C79" s="27">
        <f>+C7+C12+C5</f>
        <v>23.948340000000002</v>
      </c>
      <c r="D79" s="27">
        <v>-488</v>
      </c>
      <c r="E79" s="27">
        <v>-445.6</v>
      </c>
      <c r="F79" s="52"/>
    </row>
    <row r="80" spans="1:6" x14ac:dyDescent="0.2">
      <c r="A80" s="50"/>
      <c r="B80" s="57" t="s">
        <v>235</v>
      </c>
      <c r="C80" s="27">
        <f>+C79+C66</f>
        <v>41.963620000000006</v>
      </c>
      <c r="D80" s="27"/>
      <c r="E80" s="27"/>
      <c r="F80" s="52"/>
    </row>
    <row r="81" spans="1:6" x14ac:dyDescent="0.2">
      <c r="A81" s="50">
        <v>69</v>
      </c>
      <c r="B81" s="57" t="s">
        <v>24</v>
      </c>
      <c r="C81" s="27">
        <f>+C7+C21</f>
        <v>42.394000000000005</v>
      </c>
      <c r="D81" s="27">
        <v>-445.6</v>
      </c>
      <c r="E81" s="27">
        <v>-427.1</v>
      </c>
      <c r="F81" s="52"/>
    </row>
    <row r="82" spans="1:6" x14ac:dyDescent="0.2">
      <c r="A82" s="50">
        <v>70</v>
      </c>
      <c r="B82" s="57" t="s">
        <v>191</v>
      </c>
      <c r="C82" s="27">
        <f>+C7+C21</f>
        <v>42.394000000000005</v>
      </c>
      <c r="D82" s="27"/>
      <c r="E82" s="27"/>
      <c r="F82" s="52"/>
    </row>
    <row r="83" spans="1:6" x14ac:dyDescent="0.2">
      <c r="A83" s="50">
        <v>71</v>
      </c>
      <c r="B83" s="57" t="s">
        <v>44</v>
      </c>
      <c r="C83" s="27">
        <f>2*C7+C10+3*C12</f>
        <v>73.890899999999988</v>
      </c>
      <c r="D83" s="27">
        <v>-1212.7</v>
      </c>
      <c r="E83" s="27">
        <v>-1129.4000000000001</v>
      </c>
      <c r="F83" s="52"/>
    </row>
    <row r="84" spans="1:6" x14ac:dyDescent="0.2">
      <c r="A84" s="50">
        <v>72</v>
      </c>
      <c r="B84" s="57" t="s">
        <v>69</v>
      </c>
      <c r="C84" s="27">
        <f>2*C7+C20+4*C12</f>
        <v>109.94459999999999</v>
      </c>
      <c r="D84" s="27">
        <f>-340.23*4.184</f>
        <v>-1423.52232</v>
      </c>
      <c r="E84" s="27">
        <f>-314.66*4.184</f>
        <v>-1316.5374400000001</v>
      </c>
      <c r="F84" s="52"/>
    </row>
    <row r="85" spans="1:6" x14ac:dyDescent="0.2">
      <c r="A85" s="50">
        <v>73</v>
      </c>
      <c r="B85" s="51" t="s">
        <v>111</v>
      </c>
      <c r="C85" s="27">
        <f>2*C7+C20+4*C12+2*C5+C12</f>
        <v>127.95987999999998</v>
      </c>
      <c r="D85" s="27">
        <f>-411.57*4.184</f>
        <v>-1722.0088800000001</v>
      </c>
      <c r="E85" s="27">
        <f>-375.07*4.184</f>
        <v>-1569.29288</v>
      </c>
      <c r="F85" s="52"/>
    </row>
    <row r="86" spans="1:6" x14ac:dyDescent="0.2">
      <c r="A86" s="50">
        <v>74</v>
      </c>
      <c r="B86" s="51" t="s">
        <v>103</v>
      </c>
      <c r="C86" s="27">
        <f>+C7+C21+C12</f>
        <v>58.393400000000007</v>
      </c>
      <c r="D86" s="27"/>
      <c r="E86" s="27"/>
      <c r="F86" s="52"/>
    </row>
    <row r="87" spans="1:6" x14ac:dyDescent="0.2">
      <c r="A87" s="50">
        <v>75</v>
      </c>
      <c r="B87" s="51" t="s">
        <v>76</v>
      </c>
      <c r="C87" s="27">
        <f>2*C9+3*C12</f>
        <v>69.620199999999997</v>
      </c>
      <c r="D87" s="27">
        <f>-282.9*4.184</f>
        <v>-1183.6535999999999</v>
      </c>
      <c r="E87" s="27">
        <f>-302*4.184</f>
        <v>-1263.568</v>
      </c>
      <c r="F87" s="52"/>
    </row>
    <row r="88" spans="1:6" x14ac:dyDescent="0.2">
      <c r="A88" s="50">
        <v>76</v>
      </c>
      <c r="B88" s="51" t="s">
        <v>51</v>
      </c>
      <c r="C88" s="27">
        <f>3*(C5+C12)+C9</f>
        <v>61.833019999999998</v>
      </c>
      <c r="D88" s="27"/>
      <c r="E88" s="27"/>
      <c r="F88" s="52"/>
    </row>
    <row r="89" spans="1:6" x14ac:dyDescent="0.2">
      <c r="A89" s="50">
        <v>77</v>
      </c>
      <c r="B89" s="51" t="s">
        <v>71</v>
      </c>
      <c r="C89" s="27">
        <f>+C10+4*C5</f>
        <v>16.042459999999998</v>
      </c>
      <c r="D89" s="27">
        <f>-74.897</f>
        <v>-74.897000000000006</v>
      </c>
      <c r="E89" s="27">
        <f>-50.828</f>
        <v>-50.828000000000003</v>
      </c>
      <c r="F89" s="52"/>
    </row>
    <row r="90" spans="1:6" x14ac:dyDescent="0.2">
      <c r="A90" s="50">
        <v>78</v>
      </c>
      <c r="B90" s="51" t="s">
        <v>72</v>
      </c>
      <c r="C90" s="27">
        <f>2*C10+6*C5</f>
        <v>30.069040000000001</v>
      </c>
      <c r="D90" s="27">
        <f>-84.724</f>
        <v>-84.724000000000004</v>
      </c>
      <c r="E90" s="27">
        <f>-32.908</f>
        <v>-32.908000000000001</v>
      </c>
      <c r="F90" s="52"/>
    </row>
    <row r="91" spans="1:6" x14ac:dyDescent="0.2">
      <c r="A91" s="50"/>
      <c r="B91" s="57" t="s">
        <v>142</v>
      </c>
      <c r="C91" s="27">
        <f>3*C10+8*C5</f>
        <v>44.095619999999997</v>
      </c>
      <c r="D91" s="27"/>
      <c r="E91" s="27"/>
      <c r="F91" s="52"/>
    </row>
    <row r="92" spans="1:6" x14ac:dyDescent="0.2">
      <c r="A92" s="50">
        <v>79</v>
      </c>
      <c r="B92" s="51" t="s">
        <v>73</v>
      </c>
      <c r="C92" s="27">
        <f>+C10+C12</f>
        <v>28.010100000000001</v>
      </c>
      <c r="D92" s="27">
        <f>-26.416*4.184</f>
        <v>-110.52454400000001</v>
      </c>
      <c r="E92" s="27">
        <f>-32.808*4.184</f>
        <v>-137.26867200000001</v>
      </c>
      <c r="F92" s="52"/>
    </row>
    <row r="93" spans="1:6" x14ac:dyDescent="0.2">
      <c r="A93" s="50">
        <v>80</v>
      </c>
      <c r="B93" s="51" t="s">
        <v>27</v>
      </c>
      <c r="C93" s="27">
        <f>+C10+2*C12</f>
        <v>44.009500000000003</v>
      </c>
      <c r="D93" s="27">
        <f>-94.052*4.184</f>
        <v>-393.51356800000002</v>
      </c>
      <c r="E93" s="27">
        <f>-94.26*4.184</f>
        <v>-394.38384000000002</v>
      </c>
      <c r="F93" s="52"/>
    </row>
    <row r="94" spans="1:6" x14ac:dyDescent="0.2">
      <c r="A94" s="50">
        <v>81</v>
      </c>
      <c r="B94" s="51" t="s">
        <v>74</v>
      </c>
      <c r="C94" s="27">
        <f>+C10+3*C12</f>
        <v>60.008899999999997</v>
      </c>
      <c r="D94" s="27"/>
      <c r="E94" s="27"/>
      <c r="F94" s="52"/>
    </row>
    <row r="95" spans="1:6" x14ac:dyDescent="0.2">
      <c r="A95" s="50">
        <v>82</v>
      </c>
      <c r="B95" s="51" t="s">
        <v>75</v>
      </c>
      <c r="C95" s="27">
        <f>+C10+3*C12+C5</f>
        <v>61.016839999999995</v>
      </c>
      <c r="D95" s="27"/>
      <c r="E95" s="27"/>
      <c r="F95" s="52"/>
    </row>
    <row r="96" spans="1:6" x14ac:dyDescent="0.2">
      <c r="A96" s="50">
        <v>83</v>
      </c>
      <c r="B96" s="51" t="s">
        <v>189</v>
      </c>
      <c r="C96" s="27">
        <f>2*C15+C12</f>
        <v>61.978938560000003</v>
      </c>
      <c r="D96" s="27">
        <f>-99.45*4.184</f>
        <v>-416.09880000000004</v>
      </c>
      <c r="E96" s="27">
        <f>-90.06*4.184</f>
        <v>-376.81104000000005</v>
      </c>
      <c r="F96" s="52"/>
    </row>
    <row r="97" spans="1:6" x14ac:dyDescent="0.2">
      <c r="A97" s="50">
        <v>84</v>
      </c>
      <c r="B97" s="51" t="s">
        <v>35</v>
      </c>
      <c r="C97" s="27">
        <f>+C15+C12+C5</f>
        <v>39.997109279999997</v>
      </c>
      <c r="D97" s="27">
        <v>-469.4</v>
      </c>
      <c r="E97" s="27">
        <v>-419.35</v>
      </c>
      <c r="F97" s="52"/>
    </row>
    <row r="98" spans="1:6" x14ac:dyDescent="0.2">
      <c r="A98" s="50">
        <v>85</v>
      </c>
      <c r="B98" s="51" t="s">
        <v>23</v>
      </c>
      <c r="C98" s="27">
        <f>+C15+C21</f>
        <v>58.442769280000007</v>
      </c>
      <c r="D98" s="27">
        <v>-411.6</v>
      </c>
      <c r="E98" s="27">
        <v>-384.7</v>
      </c>
      <c r="F98" s="52"/>
    </row>
    <row r="99" spans="1:6" x14ac:dyDescent="0.2">
      <c r="A99" s="50">
        <v>86</v>
      </c>
      <c r="B99" s="51" t="s">
        <v>28</v>
      </c>
      <c r="C99" s="27">
        <f>2*C15+C10+3*C12</f>
        <v>105.98843855999999</v>
      </c>
      <c r="D99" s="27">
        <v>-1130.9000000000001</v>
      </c>
      <c r="E99" s="27">
        <v>-1044.5999999999999</v>
      </c>
      <c r="F99" s="52"/>
    </row>
    <row r="100" spans="1:6" x14ac:dyDescent="0.2">
      <c r="A100" s="50"/>
      <c r="B100" s="57" t="s">
        <v>193</v>
      </c>
      <c r="C100" s="27">
        <f>2*C15+C10+3*C12+2*C5+C12</f>
        <v>124.00371855999998</v>
      </c>
      <c r="D100" s="27"/>
      <c r="E100" s="27"/>
      <c r="F100" s="52"/>
    </row>
    <row r="101" spans="1:6" x14ac:dyDescent="0.2">
      <c r="A101" s="50">
        <v>87</v>
      </c>
      <c r="B101" s="51" t="s">
        <v>25</v>
      </c>
      <c r="C101" s="27">
        <f>+C15+C10+3*C12+C5</f>
        <v>84.006609280000006</v>
      </c>
      <c r="D101" s="27">
        <f>-226*4.184</f>
        <v>-945.58400000000006</v>
      </c>
      <c r="E101" s="27">
        <f>-202.66*4.184</f>
        <v>-847.92944</v>
      </c>
      <c r="F101" s="52" t="s">
        <v>114</v>
      </c>
    </row>
    <row r="102" spans="1:6" x14ac:dyDescent="0.2">
      <c r="A102" s="50">
        <v>88</v>
      </c>
      <c r="B102" s="51" t="s">
        <v>25</v>
      </c>
      <c r="C102" s="27">
        <f>+C15+C10+3*C12+C5</f>
        <v>84.006609280000006</v>
      </c>
      <c r="D102" s="27">
        <f>-222.1*4.184</f>
        <v>-929.26639999999998</v>
      </c>
      <c r="E102" s="27">
        <f>-202.87*4.184</f>
        <v>-848.80808000000002</v>
      </c>
      <c r="F102" s="52" t="s">
        <v>120</v>
      </c>
    </row>
    <row r="103" spans="1:6" x14ac:dyDescent="0.2">
      <c r="A103" s="50">
        <v>89</v>
      </c>
      <c r="B103" s="51" t="s">
        <v>132</v>
      </c>
      <c r="C103" s="27">
        <f>+C15+C10+3*C12+C5+2*C15+C10+3*C12+2*C5+C12</f>
        <v>208.01032784</v>
      </c>
      <c r="D103" s="27"/>
      <c r="E103" s="27"/>
      <c r="F103" s="52"/>
    </row>
    <row r="104" spans="1:6" x14ac:dyDescent="0.2">
      <c r="A104" s="50">
        <v>90</v>
      </c>
      <c r="B104" s="51" t="s">
        <v>105</v>
      </c>
      <c r="C104" s="27">
        <f>+C20+2*C12</f>
        <v>64.063800000000001</v>
      </c>
      <c r="D104" s="27">
        <f>-70.94*4.184</f>
        <v>-296.81295999999998</v>
      </c>
      <c r="E104" s="27">
        <f>-71.68*4.184</f>
        <v>-299.90912000000003</v>
      </c>
      <c r="F104" s="52" t="s">
        <v>121</v>
      </c>
    </row>
    <row r="105" spans="1:6" x14ac:dyDescent="0.2">
      <c r="A105" s="50">
        <v>91</v>
      </c>
      <c r="B105" s="57" t="s">
        <v>9</v>
      </c>
      <c r="C105" s="27">
        <f>+C20+4*C12</f>
        <v>96.062600000000003</v>
      </c>
      <c r="D105" s="27"/>
      <c r="E105" s="27"/>
      <c r="F105" s="52"/>
    </row>
    <row r="106" spans="1:6" x14ac:dyDescent="0.2">
      <c r="A106" s="50"/>
      <c r="B106" s="57" t="s">
        <v>36</v>
      </c>
      <c r="C106" s="27">
        <f>2*C5+C20+4*C12</f>
        <v>98.078479999999999</v>
      </c>
      <c r="D106" s="29">
        <f>-193.69*4.184</f>
        <v>-810.39895999999999</v>
      </c>
      <c r="E106" s="27"/>
      <c r="F106" s="52"/>
    </row>
    <row r="107" spans="1:6" x14ac:dyDescent="0.2">
      <c r="A107" s="50">
        <v>92</v>
      </c>
      <c r="B107" s="51" t="s">
        <v>104</v>
      </c>
      <c r="C107" s="27">
        <f>2*C15+C20</f>
        <v>78.044538560000007</v>
      </c>
      <c r="D107" s="27">
        <f>-89.8*4.184</f>
        <v>-375.72320000000002</v>
      </c>
      <c r="E107" s="27"/>
      <c r="F107" s="52" t="s">
        <v>114</v>
      </c>
    </row>
    <row r="108" spans="1:6" x14ac:dyDescent="0.2">
      <c r="A108" s="50">
        <v>93</v>
      </c>
      <c r="B108" s="51" t="s">
        <v>10</v>
      </c>
      <c r="C108" s="27">
        <f>2*C15+C20+4*C12</f>
        <v>142.04213856000001</v>
      </c>
      <c r="D108" s="27">
        <v>-1384.5</v>
      </c>
      <c r="E108" s="27">
        <v>-1265.8</v>
      </c>
      <c r="F108" s="52"/>
    </row>
    <row r="109" spans="1:6" x14ac:dyDescent="0.2">
      <c r="A109" s="50">
        <v>94</v>
      </c>
      <c r="B109" s="51" t="s">
        <v>106</v>
      </c>
      <c r="C109" s="27">
        <f>2*C15+2*C20+5*C12</f>
        <v>190.10653855999999</v>
      </c>
      <c r="D109" s="27"/>
      <c r="E109" s="27"/>
      <c r="F109" s="52"/>
    </row>
    <row r="110" spans="1:6" x14ac:dyDescent="0.2">
      <c r="A110" s="50">
        <v>95</v>
      </c>
      <c r="B110" s="51" t="s">
        <v>14</v>
      </c>
      <c r="C110" s="27">
        <f>2*C15+C20+4*C12+10*(2*C5+C12)</f>
        <v>322.19493856000003</v>
      </c>
      <c r="D110" s="27">
        <v>-4327.7</v>
      </c>
      <c r="E110" s="27">
        <v>-3644</v>
      </c>
      <c r="F110" s="52"/>
    </row>
    <row r="111" spans="1:6" x14ac:dyDescent="0.2">
      <c r="A111" s="50">
        <v>96</v>
      </c>
      <c r="B111" s="57" t="s">
        <v>128</v>
      </c>
      <c r="C111" s="27">
        <f>4*C9+7*C12</f>
        <v>155.2398</v>
      </c>
      <c r="D111" s="27"/>
      <c r="E111" s="27"/>
      <c r="F111" s="52"/>
    </row>
    <row r="112" spans="1:6" x14ac:dyDescent="0.2">
      <c r="A112" s="50">
        <v>97</v>
      </c>
      <c r="B112" s="51" t="s">
        <v>38</v>
      </c>
      <c r="C112" s="27">
        <f>2*C15+4*C9+7*C12</f>
        <v>201.21933856000001</v>
      </c>
      <c r="D112" s="27"/>
      <c r="E112" s="27"/>
      <c r="F112" s="52"/>
    </row>
    <row r="113" spans="1:6" x14ac:dyDescent="0.2">
      <c r="A113" s="50">
        <v>98</v>
      </c>
      <c r="B113" s="51" t="s">
        <v>37</v>
      </c>
      <c r="C113" s="27">
        <f>2*C15+4*C9+7*C12+10*(2*C5+C12)</f>
        <v>381.37213856000005</v>
      </c>
      <c r="D113" s="27"/>
      <c r="E113" s="27"/>
      <c r="F113" s="52"/>
    </row>
    <row r="114" spans="1:6" x14ac:dyDescent="0.2">
      <c r="A114" s="50">
        <v>99</v>
      </c>
      <c r="B114" s="51" t="s">
        <v>190</v>
      </c>
      <c r="C114" s="27">
        <f>3*(2*C15+C12)+4*(2*C9+3*C12)</f>
        <v>464.41761567999998</v>
      </c>
      <c r="D114" s="27"/>
      <c r="E114" s="27"/>
      <c r="F114" s="52"/>
    </row>
    <row r="115" spans="1:6" x14ac:dyDescent="0.2">
      <c r="A115" s="50">
        <v>100</v>
      </c>
      <c r="B115" s="51" t="s">
        <v>107</v>
      </c>
      <c r="C115" s="27">
        <f>1*(2*C15+C12)+2*(C24+C12)+5*(2*C9+3*C12)+16*(2*C5+C12)</f>
        <v>810.47921855999994</v>
      </c>
      <c r="D115" s="27"/>
      <c r="E115" s="27"/>
      <c r="F115" s="52"/>
    </row>
    <row r="116" spans="1:6" x14ac:dyDescent="0.2">
      <c r="A116" s="50">
        <v>101</v>
      </c>
      <c r="B116" s="58" t="s">
        <v>77</v>
      </c>
      <c r="C116" s="27">
        <f>+C16+C12</f>
        <v>40.304400000000001</v>
      </c>
      <c r="D116" s="27">
        <f>-143.84*4.184</f>
        <v>-601.82656000000009</v>
      </c>
      <c r="E116" s="27">
        <f>-136.17*4.184</f>
        <v>-569.73527999999999</v>
      </c>
      <c r="F116" s="52" t="s">
        <v>114</v>
      </c>
    </row>
    <row r="117" spans="1:6" x14ac:dyDescent="0.2">
      <c r="A117" s="50">
        <v>102</v>
      </c>
      <c r="B117" s="51" t="s">
        <v>17</v>
      </c>
      <c r="C117" s="27">
        <f>+C16+2*(C12+C5)</f>
        <v>58.319679999999998</v>
      </c>
      <c r="D117" s="27">
        <v>-929.9</v>
      </c>
      <c r="E117" s="27">
        <v>-837.9</v>
      </c>
      <c r="F117" s="52"/>
    </row>
    <row r="118" spans="1:6" x14ac:dyDescent="0.2">
      <c r="A118" s="50">
        <v>103</v>
      </c>
      <c r="B118" s="51" t="s">
        <v>15</v>
      </c>
      <c r="C118" s="27">
        <f>+C16+2*C21</f>
        <v>95.211000000000013</v>
      </c>
      <c r="D118" s="27">
        <v>-641.79999999999995</v>
      </c>
      <c r="E118" s="27">
        <v>-601.79999999999995</v>
      </c>
      <c r="F118" s="52" t="s">
        <v>114</v>
      </c>
    </row>
    <row r="119" spans="1:6" x14ac:dyDescent="0.2">
      <c r="A119" s="50">
        <v>104</v>
      </c>
      <c r="B119" s="51" t="s">
        <v>115</v>
      </c>
      <c r="C119" s="27">
        <f>+C16+2*C21+6*(2*C5+C12)</f>
        <v>203.30268000000001</v>
      </c>
      <c r="D119" s="27"/>
      <c r="E119" s="27"/>
      <c r="F119" s="52" t="s">
        <v>114</v>
      </c>
    </row>
    <row r="120" spans="1:6" x14ac:dyDescent="0.2">
      <c r="A120" s="50">
        <v>105</v>
      </c>
      <c r="B120" s="51" t="s">
        <v>16</v>
      </c>
      <c r="C120" s="27">
        <f>+C16+C20+4*C12</f>
        <v>120.3676</v>
      </c>
      <c r="D120" s="27">
        <v>-1276.5</v>
      </c>
      <c r="E120" s="27">
        <v>-1162.5</v>
      </c>
      <c r="F120" s="52" t="s">
        <v>114</v>
      </c>
    </row>
    <row r="121" spans="1:6" x14ac:dyDescent="0.2">
      <c r="A121" s="50"/>
      <c r="B121" s="57" t="s">
        <v>196</v>
      </c>
      <c r="C121" s="27">
        <f>+C16+2*(C5+C10+3*C12)</f>
        <v>146.33867999999998</v>
      </c>
      <c r="D121" s="27"/>
      <c r="E121" s="27"/>
      <c r="F121" s="52"/>
    </row>
    <row r="122" spans="1:6" x14ac:dyDescent="0.2">
      <c r="A122" s="50">
        <v>106</v>
      </c>
      <c r="B122" s="51" t="s">
        <v>83</v>
      </c>
      <c r="C122" s="27">
        <f>+C16+C10+3*C12</f>
        <v>84.31389999999999</v>
      </c>
      <c r="D122" s="27">
        <f>-261.7*4.184</f>
        <v>-1094.9528</v>
      </c>
      <c r="E122" s="27">
        <f>-241.7*4.184</f>
        <v>-1011.2728</v>
      </c>
      <c r="F122" s="52" t="s">
        <v>114</v>
      </c>
    </row>
    <row r="123" spans="1:6" x14ac:dyDescent="0.2">
      <c r="A123" s="50">
        <v>107</v>
      </c>
      <c r="B123" s="51" t="s">
        <v>78</v>
      </c>
      <c r="C123" s="27">
        <f>2*C23+C12</f>
        <v>94.195999999999998</v>
      </c>
      <c r="D123" s="27">
        <f>-86.2*4.184</f>
        <v>-360.66080000000005</v>
      </c>
      <c r="E123" s="27"/>
      <c r="F123" s="52" t="s">
        <v>114</v>
      </c>
    </row>
    <row r="124" spans="1:6" x14ac:dyDescent="0.2">
      <c r="A124" s="50">
        <v>108</v>
      </c>
      <c r="B124" s="51" t="s">
        <v>22</v>
      </c>
      <c r="C124" s="27">
        <f>+C23+C21</f>
        <v>74.551299999999998</v>
      </c>
      <c r="D124" s="27">
        <f>-104.348*4.184</f>
        <v>-436.59203200000002</v>
      </c>
      <c r="E124" s="27">
        <f>-97.76*4.184</f>
        <v>-409.02784000000003</v>
      </c>
      <c r="F124" s="52" t="s">
        <v>114</v>
      </c>
    </row>
    <row r="125" spans="1:6" x14ac:dyDescent="0.2">
      <c r="A125" s="50">
        <v>109</v>
      </c>
      <c r="B125" s="51" t="s">
        <v>108</v>
      </c>
      <c r="C125" s="27">
        <f>2*C23+C20+4*C12</f>
        <v>174.25919999999999</v>
      </c>
      <c r="D125" s="27">
        <f>-342.65*4.184</f>
        <v>-1433.6476</v>
      </c>
      <c r="E125" s="27">
        <f>-314.62*4.184</f>
        <v>-1316.3700800000001</v>
      </c>
      <c r="F125" s="52" t="s">
        <v>114</v>
      </c>
    </row>
    <row r="126" spans="1:6" x14ac:dyDescent="0.2">
      <c r="A126" s="50">
        <v>110</v>
      </c>
      <c r="B126" s="51" t="s">
        <v>109</v>
      </c>
      <c r="C126" s="27">
        <f>+C23+C21+C16+2*C21+6*(2*C5+C12)</f>
        <v>277.85397999999998</v>
      </c>
      <c r="D126" s="27"/>
      <c r="E126" s="27"/>
      <c r="F126" s="52" t="s">
        <v>114</v>
      </c>
    </row>
    <row r="127" spans="1:6" x14ac:dyDescent="0.2">
      <c r="A127" s="50">
        <v>111</v>
      </c>
      <c r="B127" s="51" t="s">
        <v>110</v>
      </c>
      <c r="C127" s="27">
        <f>+C23+C11+3*C12</f>
        <v>101.1032</v>
      </c>
      <c r="D127" s="27">
        <f>-118.08*4.184</f>
        <v>-494.04671999999999</v>
      </c>
      <c r="E127" s="27">
        <f>-94.29*4.184</f>
        <v>-394.50936000000002</v>
      </c>
      <c r="F127" s="52" t="s">
        <v>114</v>
      </c>
    </row>
    <row r="128" spans="1:6" x14ac:dyDescent="0.2">
      <c r="A128" s="50">
        <v>112</v>
      </c>
      <c r="B128" s="51" t="s">
        <v>7</v>
      </c>
      <c r="C128" s="27">
        <f>+C24+C12</f>
        <v>56.077400000000004</v>
      </c>
      <c r="D128" s="27">
        <v>-635.6</v>
      </c>
      <c r="E128" s="27">
        <v>-604</v>
      </c>
      <c r="F128" s="52" t="s">
        <v>114</v>
      </c>
    </row>
    <row r="129" spans="1:6" x14ac:dyDescent="0.2">
      <c r="A129" s="50">
        <v>113</v>
      </c>
      <c r="B129" s="51" t="s">
        <v>8</v>
      </c>
      <c r="C129" s="27">
        <f>+C24+2*(C12+C5)</f>
        <v>74.092680000000001</v>
      </c>
      <c r="D129" s="27">
        <v>-986.59</v>
      </c>
      <c r="E129" s="27">
        <v>-891.6</v>
      </c>
      <c r="F129" s="52" t="s">
        <v>114</v>
      </c>
    </row>
    <row r="130" spans="1:6" x14ac:dyDescent="0.2">
      <c r="A130" s="50">
        <v>114</v>
      </c>
      <c r="B130" s="57" t="s">
        <v>18</v>
      </c>
      <c r="C130" s="27">
        <f>+C24+2*C21</f>
        <v>110.98400000000001</v>
      </c>
      <c r="D130" s="27">
        <v>-794.96</v>
      </c>
      <c r="E130" s="27">
        <v>-752.6</v>
      </c>
      <c r="F130" s="52" t="s">
        <v>114</v>
      </c>
    </row>
    <row r="131" spans="1:6" x14ac:dyDescent="0.2">
      <c r="A131" s="50"/>
      <c r="B131" s="57" t="s">
        <v>192</v>
      </c>
      <c r="C131" s="27">
        <f>+C24+2*C21+2*(2*C5+C12)</f>
        <v>147.01456000000002</v>
      </c>
      <c r="D131" s="27"/>
      <c r="E131" s="27"/>
      <c r="F131" s="52"/>
    </row>
    <row r="132" spans="1:6" x14ac:dyDescent="0.2">
      <c r="A132" s="50">
        <v>115</v>
      </c>
      <c r="B132" s="51" t="s">
        <v>33</v>
      </c>
      <c r="C132" s="27">
        <f>+C24+C20</f>
        <v>72.143000000000001</v>
      </c>
      <c r="D132" s="27"/>
      <c r="E132" s="27"/>
      <c r="F132" s="52" t="s">
        <v>114</v>
      </c>
    </row>
    <row r="133" spans="1:6" x14ac:dyDescent="0.2">
      <c r="A133" s="50"/>
      <c r="B133" s="57" t="s">
        <v>53</v>
      </c>
      <c r="C133" s="27">
        <f>+C24+2*(C5+C10+3*C12)</f>
        <v>162.11167999999998</v>
      </c>
      <c r="D133" s="27"/>
      <c r="E133" s="27"/>
      <c r="F133" s="52"/>
    </row>
    <row r="134" spans="1:6" x14ac:dyDescent="0.2">
      <c r="A134" s="50">
        <v>116</v>
      </c>
      <c r="B134" s="51" t="s">
        <v>26</v>
      </c>
      <c r="C134" s="27">
        <f>+C24+C10+3*C12</f>
        <v>100.0869</v>
      </c>
      <c r="D134" s="27">
        <v>-1206.9000000000001</v>
      </c>
      <c r="E134" s="27">
        <v>-1133.5</v>
      </c>
      <c r="F134" s="52" t="s">
        <v>114</v>
      </c>
    </row>
    <row r="135" spans="1:6" x14ac:dyDescent="0.2">
      <c r="A135" s="50">
        <v>117</v>
      </c>
      <c r="B135" s="51" t="s">
        <v>19</v>
      </c>
      <c r="C135" s="27">
        <f>+C24+C20+4*C12</f>
        <v>136.14060000000001</v>
      </c>
      <c r="D135" s="27">
        <v>-1432.7</v>
      </c>
      <c r="E135" s="27">
        <v>-1305.5999999999999</v>
      </c>
      <c r="F135" s="52" t="s">
        <v>114</v>
      </c>
    </row>
    <row r="136" spans="1:6" x14ac:dyDescent="0.2">
      <c r="A136" s="50">
        <v>118</v>
      </c>
      <c r="B136" s="51" t="s">
        <v>117</v>
      </c>
      <c r="C136" s="27">
        <f>+C24+C20+4*C12+0.5*(2*C5+C12)</f>
        <v>145.14824000000002</v>
      </c>
      <c r="D136" s="27">
        <f>-376.13*4.184</f>
        <v>-1573.72792</v>
      </c>
      <c r="E136" s="27"/>
      <c r="F136" s="52" t="s">
        <v>114</v>
      </c>
    </row>
    <row r="137" spans="1:6" x14ac:dyDescent="0.2">
      <c r="A137" s="50">
        <v>119</v>
      </c>
      <c r="B137" s="51" t="s">
        <v>116</v>
      </c>
      <c r="C137" s="27">
        <f>+C24+C20+4*C12+2*(2*C5+C12)</f>
        <v>172.17116000000001</v>
      </c>
      <c r="D137" s="27">
        <f>-479.33*4.184</f>
        <v>-2005.5167200000001</v>
      </c>
      <c r="E137" s="27">
        <f>-425.47*4.184</f>
        <v>-1780.1664800000001</v>
      </c>
      <c r="F137" s="52" t="s">
        <v>114</v>
      </c>
    </row>
    <row r="138" spans="1:6" x14ac:dyDescent="0.2">
      <c r="A138" s="50">
        <v>120</v>
      </c>
      <c r="B138" s="51" t="s">
        <v>97</v>
      </c>
      <c r="C138" s="27">
        <f>+C24+4*C9+7*C12</f>
        <v>195.31780000000001</v>
      </c>
      <c r="D138" s="27"/>
      <c r="E138" s="27"/>
      <c r="F138" s="52"/>
    </row>
    <row r="139" spans="1:6" x14ac:dyDescent="0.2">
      <c r="A139" s="50">
        <v>121</v>
      </c>
      <c r="B139" s="51" t="s">
        <v>84</v>
      </c>
      <c r="C139" s="27">
        <f>+C18+2*C12</f>
        <v>60.084299999999999</v>
      </c>
      <c r="D139" s="27">
        <f>-203.35*4.184</f>
        <v>-850.81640000000004</v>
      </c>
      <c r="E139" s="27">
        <f>-190.4*0.4184</f>
        <v>-79.663359999999997</v>
      </c>
      <c r="F139" s="52" t="s">
        <v>119</v>
      </c>
    </row>
    <row r="140" spans="1:6" x14ac:dyDescent="0.2">
      <c r="A140" s="50"/>
      <c r="B140" s="57" t="s">
        <v>194</v>
      </c>
      <c r="C140" s="27">
        <f>+C42+2*C21</f>
        <v>158.52600000000001</v>
      </c>
      <c r="D140" s="27"/>
      <c r="E140" s="27"/>
      <c r="F140" s="52"/>
    </row>
    <row r="141" spans="1:6" x14ac:dyDescent="0.2">
      <c r="A141" s="50"/>
      <c r="B141" s="57" t="s">
        <v>195</v>
      </c>
      <c r="C141" s="27">
        <f>+C42+C10+3*C12</f>
        <v>147.62889999999999</v>
      </c>
      <c r="D141" s="27"/>
      <c r="E141" s="27"/>
      <c r="F141" s="52"/>
    </row>
    <row r="142" spans="1:6" x14ac:dyDescent="0.2">
      <c r="A142" s="50">
        <v>122</v>
      </c>
      <c r="B142" s="51" t="s">
        <v>85</v>
      </c>
      <c r="C142" s="27">
        <f>2*C30+3*C12</f>
        <v>159.68819999999999</v>
      </c>
      <c r="D142" s="27">
        <f>-198.5*4.184</f>
        <v>-830.524</v>
      </c>
      <c r="E142" s="27">
        <f>-179.1*4.184</f>
        <v>-749.35440000000006</v>
      </c>
      <c r="F142" s="52" t="s">
        <v>114</v>
      </c>
    </row>
    <row r="143" spans="1:6" ht="13.5" thickBot="1" x14ac:dyDescent="0.25">
      <c r="A143" s="50">
        <v>123</v>
      </c>
      <c r="B143" s="59" t="s">
        <v>86</v>
      </c>
      <c r="C143" s="28">
        <f>2*C17+3*C12</f>
        <v>101.9612772</v>
      </c>
      <c r="D143" s="28">
        <f>-399.09*4.184</f>
        <v>-1669.7925599999999</v>
      </c>
      <c r="E143" s="28">
        <f>-376.87*4.184</f>
        <v>-1576.8240800000001</v>
      </c>
      <c r="F143" s="60" t="s">
        <v>118</v>
      </c>
    </row>
  </sheetData>
  <mergeCells count="3">
    <mergeCell ref="C3:C4"/>
    <mergeCell ref="A3:A4"/>
    <mergeCell ref="B3:B4"/>
  </mergeCells>
  <phoneticPr fontId="2" type="noConversion"/>
  <pageMargins left="0.75" right="0.75" top="1" bottom="1" header="0" footer="0"/>
  <pageSetup paperSize="9" scale="5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A1:M92"/>
  <sheetViews>
    <sheetView zoomScale="90" zoomScaleNormal="90" workbookViewId="0">
      <selection activeCell="P23" sqref="P23"/>
    </sheetView>
  </sheetViews>
  <sheetFormatPr baseColWidth="10" defaultColWidth="11.42578125" defaultRowHeight="12.75" x14ac:dyDescent="0.2"/>
  <cols>
    <col min="1" max="1" width="23.140625" customWidth="1"/>
    <col min="2" max="2" width="15.28515625" bestFit="1" customWidth="1"/>
    <col min="12" max="12" width="12.140625" bestFit="1" customWidth="1"/>
  </cols>
  <sheetData>
    <row r="1" spans="1:13" ht="16.5" thickBot="1" x14ac:dyDescent="0.3">
      <c r="A1" s="299" t="s">
        <v>39</v>
      </c>
      <c r="B1" s="300"/>
      <c r="C1" s="300"/>
      <c r="D1" s="300"/>
      <c r="E1" s="300"/>
      <c r="F1" s="300"/>
      <c r="G1" s="300"/>
      <c r="H1" s="300"/>
      <c r="I1" s="300"/>
      <c r="J1" s="301"/>
      <c r="K1" s="6"/>
      <c r="L1" s="6"/>
      <c r="M1" s="1"/>
    </row>
    <row r="2" spans="1:13" x14ac:dyDescent="0.2">
      <c r="A2" s="303" t="s">
        <v>40</v>
      </c>
      <c r="B2" s="305" t="s">
        <v>41</v>
      </c>
      <c r="C2" s="305" t="s">
        <v>1</v>
      </c>
      <c r="D2" s="305"/>
      <c r="E2" s="305"/>
      <c r="F2" s="305"/>
      <c r="G2" s="305"/>
      <c r="H2" s="305"/>
      <c r="I2" s="305"/>
      <c r="J2" s="307"/>
      <c r="K2" s="7" t="s">
        <v>42</v>
      </c>
      <c r="L2" s="7" t="s">
        <v>238</v>
      </c>
      <c r="M2" s="1"/>
    </row>
    <row r="3" spans="1:13" x14ac:dyDescent="0.2">
      <c r="A3" s="304"/>
      <c r="B3" s="306"/>
      <c r="C3" s="8">
        <v>0</v>
      </c>
      <c r="D3" s="8">
        <v>10</v>
      </c>
      <c r="E3" s="8">
        <v>20</v>
      </c>
      <c r="F3" s="8">
        <v>30</v>
      </c>
      <c r="G3" s="8">
        <v>40</v>
      </c>
      <c r="H3" s="8">
        <v>60</v>
      </c>
      <c r="I3" s="8">
        <v>80</v>
      </c>
      <c r="J3" s="9">
        <v>100</v>
      </c>
      <c r="K3" s="10"/>
      <c r="L3" s="10" t="s">
        <v>239</v>
      </c>
    </row>
    <row r="4" spans="1:13" x14ac:dyDescent="0.2">
      <c r="A4" s="124" t="s">
        <v>227</v>
      </c>
      <c r="B4" s="125" t="s">
        <v>226</v>
      </c>
      <c r="C4" s="126">
        <v>128</v>
      </c>
      <c r="D4" s="126">
        <v>138</v>
      </c>
      <c r="E4" s="126">
        <v>148</v>
      </c>
      <c r="F4" s="126">
        <v>161</v>
      </c>
      <c r="G4" s="126">
        <v>180</v>
      </c>
      <c r="H4" s="126">
        <v>198</v>
      </c>
      <c r="I4" s="126">
        <v>220</v>
      </c>
      <c r="J4" s="127"/>
      <c r="K4" s="10"/>
      <c r="L4" s="10">
        <v>11.5</v>
      </c>
    </row>
    <row r="5" spans="1:13" x14ac:dyDescent="0.2">
      <c r="A5" s="124"/>
      <c r="B5" s="125" t="s">
        <v>228</v>
      </c>
      <c r="C5" s="126"/>
      <c r="D5" s="126"/>
      <c r="E5" s="126"/>
      <c r="F5" s="126"/>
      <c r="G5" s="126"/>
      <c r="H5" s="126"/>
      <c r="I5" s="126"/>
      <c r="J5" s="127"/>
      <c r="K5" s="10"/>
      <c r="L5" s="10">
        <v>5.6</v>
      </c>
    </row>
    <row r="6" spans="1:13" x14ac:dyDescent="0.2">
      <c r="A6" s="12" t="s">
        <v>43</v>
      </c>
      <c r="B6" s="8" t="s">
        <v>44</v>
      </c>
      <c r="C6" s="8">
        <v>1.54</v>
      </c>
      <c r="D6" s="8">
        <v>1.43</v>
      </c>
      <c r="E6" s="8">
        <v>1.33</v>
      </c>
      <c r="F6" s="8">
        <v>1.25</v>
      </c>
      <c r="G6" s="8">
        <v>1.17</v>
      </c>
      <c r="H6" s="8">
        <v>1.01</v>
      </c>
      <c r="I6" s="8">
        <v>0.85</v>
      </c>
      <c r="J6" s="9">
        <v>0.72</v>
      </c>
      <c r="K6" s="13">
        <v>1.6999999999999999E-3</v>
      </c>
      <c r="L6" s="13">
        <v>3.1</v>
      </c>
    </row>
    <row r="7" spans="1:13" ht="14.25" x14ac:dyDescent="0.2">
      <c r="A7" s="12" t="s">
        <v>45</v>
      </c>
      <c r="B7" s="8" t="s">
        <v>24</v>
      </c>
      <c r="C7" s="44">
        <v>64</v>
      </c>
      <c r="D7" s="44">
        <v>70</v>
      </c>
      <c r="E7" s="44">
        <v>80</v>
      </c>
      <c r="F7" s="44">
        <v>90</v>
      </c>
      <c r="G7" s="44"/>
      <c r="H7" s="44">
        <v>102</v>
      </c>
      <c r="I7" s="44">
        <v>112</v>
      </c>
      <c r="J7" s="45">
        <v>125</v>
      </c>
      <c r="K7" s="10"/>
      <c r="L7" s="10">
        <v>8.8000000000000007</v>
      </c>
    </row>
    <row r="8" spans="1:13" ht="14.25" x14ac:dyDescent="0.2">
      <c r="A8" s="12" t="s">
        <v>229</v>
      </c>
      <c r="B8" s="8" t="s">
        <v>230</v>
      </c>
      <c r="C8" s="44"/>
      <c r="D8" s="44"/>
      <c r="E8" s="44">
        <v>0.13</v>
      </c>
      <c r="F8" s="44"/>
      <c r="G8" s="44">
        <v>0.14000000000000001</v>
      </c>
      <c r="H8" s="44">
        <v>0.15</v>
      </c>
      <c r="I8" s="44"/>
      <c r="J8" s="45">
        <v>0.16</v>
      </c>
      <c r="K8" s="10"/>
      <c r="L8" s="10">
        <v>-1.1000000000000001</v>
      </c>
    </row>
    <row r="9" spans="1:13" ht="14.25" x14ac:dyDescent="0.2">
      <c r="A9" s="12" t="s">
        <v>231</v>
      </c>
      <c r="B9" s="8" t="s">
        <v>232</v>
      </c>
      <c r="C9" s="44">
        <v>151</v>
      </c>
      <c r="D9" s="44">
        <v>158</v>
      </c>
      <c r="E9" s="44">
        <v>165</v>
      </c>
      <c r="F9" s="44">
        <v>172</v>
      </c>
      <c r="G9" s="44">
        <v>180</v>
      </c>
      <c r="H9" s="44"/>
      <c r="I9" s="44"/>
      <c r="J9" s="45">
        <v>480</v>
      </c>
      <c r="K9" s="10"/>
      <c r="L9" s="10">
        <v>14.9</v>
      </c>
    </row>
    <row r="10" spans="1:13" ht="14.25" x14ac:dyDescent="0.2">
      <c r="A10" s="12" t="s">
        <v>233</v>
      </c>
      <c r="B10" s="8" t="s">
        <v>234</v>
      </c>
      <c r="C10" s="44">
        <v>48</v>
      </c>
      <c r="D10" s="44">
        <v>60</v>
      </c>
      <c r="E10" s="44">
        <v>76</v>
      </c>
      <c r="F10" s="44"/>
      <c r="G10" s="44"/>
      <c r="H10" s="44"/>
      <c r="I10" s="44"/>
      <c r="J10" s="45">
        <v>227</v>
      </c>
      <c r="K10" s="10"/>
      <c r="L10" s="10">
        <v>0.47</v>
      </c>
    </row>
    <row r="11" spans="1:13" x14ac:dyDescent="0.2">
      <c r="A11" s="12" t="s">
        <v>46</v>
      </c>
      <c r="B11" s="8" t="s">
        <v>32</v>
      </c>
      <c r="C11" s="8">
        <v>12.6</v>
      </c>
      <c r="D11" s="8">
        <v>12.7</v>
      </c>
      <c r="E11" s="8">
        <v>12.8</v>
      </c>
      <c r="F11" s="8">
        <v>13</v>
      </c>
      <c r="G11" s="8">
        <v>13.2</v>
      </c>
      <c r="H11" s="8">
        <v>13.9</v>
      </c>
      <c r="I11" s="8">
        <v>15.4</v>
      </c>
      <c r="J11" s="9">
        <v>17.5</v>
      </c>
      <c r="K11" s="10"/>
      <c r="L11" s="10">
        <v>5.0999999999999996</v>
      </c>
    </row>
    <row r="12" spans="1:13" x14ac:dyDescent="0.2">
      <c r="A12" s="12"/>
      <c r="B12" s="8" t="s">
        <v>235</v>
      </c>
      <c r="C12" s="8"/>
      <c r="D12" s="8"/>
      <c r="E12" s="8"/>
      <c r="F12" s="8"/>
      <c r="G12" s="8"/>
      <c r="H12" s="8"/>
      <c r="I12" s="8"/>
      <c r="J12" s="9"/>
      <c r="K12" s="10"/>
      <c r="L12" s="10">
        <v>1.6</v>
      </c>
      <c r="M12" s="11"/>
    </row>
    <row r="13" spans="1:13" x14ac:dyDescent="0.2">
      <c r="A13" s="12" t="s">
        <v>93</v>
      </c>
      <c r="B13" s="8" t="s">
        <v>69</v>
      </c>
      <c r="C13" s="8">
        <v>35</v>
      </c>
      <c r="D13" s="8">
        <v>35</v>
      </c>
      <c r="E13" s="8">
        <v>34</v>
      </c>
      <c r="F13" s="8"/>
      <c r="G13" s="8">
        <v>33</v>
      </c>
      <c r="H13" s="8"/>
      <c r="I13" s="8"/>
      <c r="J13" s="9">
        <v>29</v>
      </c>
      <c r="K13" s="10"/>
      <c r="L13" s="10">
        <v>6.7</v>
      </c>
    </row>
    <row r="14" spans="1:13" x14ac:dyDescent="0.2">
      <c r="A14" s="12" t="s">
        <v>47</v>
      </c>
      <c r="B14" s="8" t="s">
        <v>15</v>
      </c>
      <c r="C14" s="8">
        <v>52.8</v>
      </c>
      <c r="D14" s="8">
        <v>53.5</v>
      </c>
      <c r="E14" s="8">
        <v>54.5</v>
      </c>
      <c r="F14" s="8">
        <v>56</v>
      </c>
      <c r="G14" s="8">
        <v>57.5</v>
      </c>
      <c r="H14" s="8">
        <v>61</v>
      </c>
      <c r="I14" s="8">
        <v>66</v>
      </c>
      <c r="J14" s="9">
        <v>73</v>
      </c>
      <c r="K14" s="10"/>
      <c r="L14" s="10">
        <v>36</v>
      </c>
    </row>
    <row r="15" spans="1:13" x14ac:dyDescent="0.2">
      <c r="A15" s="12"/>
      <c r="B15" s="8" t="s">
        <v>115</v>
      </c>
      <c r="C15" s="8"/>
      <c r="D15" s="8"/>
      <c r="E15" s="8"/>
      <c r="F15" s="8"/>
      <c r="G15" s="8"/>
      <c r="H15" s="8"/>
      <c r="I15" s="8"/>
      <c r="J15" s="9"/>
      <c r="K15" s="10"/>
      <c r="L15" s="10">
        <v>3.1</v>
      </c>
      <c r="M15" s="11"/>
    </row>
    <row r="16" spans="1:13" x14ac:dyDescent="0.2">
      <c r="A16" s="12" t="s">
        <v>48</v>
      </c>
      <c r="B16" s="8" t="s">
        <v>17</v>
      </c>
      <c r="C16" s="8"/>
      <c r="D16" s="8"/>
      <c r="E16" s="8"/>
      <c r="F16" s="8"/>
      <c r="G16" s="8"/>
      <c r="H16" s="8"/>
      <c r="I16" s="8"/>
      <c r="J16" s="9"/>
      <c r="K16" s="13">
        <v>1.2000000000000001E-11</v>
      </c>
      <c r="L16" s="13"/>
    </row>
    <row r="17" spans="1:13" x14ac:dyDescent="0.2">
      <c r="A17" s="12" t="s">
        <v>49</v>
      </c>
      <c r="B17" s="8" t="s">
        <v>16</v>
      </c>
      <c r="C17" s="8">
        <v>22.3</v>
      </c>
      <c r="D17" s="8">
        <v>27.8</v>
      </c>
      <c r="E17" s="8">
        <v>33.5</v>
      </c>
      <c r="F17" s="8">
        <v>39.6</v>
      </c>
      <c r="G17" s="8">
        <v>44.8</v>
      </c>
      <c r="H17" s="8">
        <v>55.3</v>
      </c>
      <c r="I17" s="8">
        <v>56</v>
      </c>
      <c r="J17" s="9">
        <v>50</v>
      </c>
      <c r="K17" s="10"/>
      <c r="L17" s="10">
        <v>21.1</v>
      </c>
    </row>
    <row r="18" spans="1:13" x14ac:dyDescent="0.2">
      <c r="A18" s="12"/>
      <c r="B18" s="8" t="s">
        <v>236</v>
      </c>
      <c r="C18" s="8"/>
      <c r="D18" s="8"/>
      <c r="E18" s="8"/>
      <c r="F18" s="8"/>
      <c r="G18" s="8"/>
      <c r="H18" s="8"/>
      <c r="I18" s="8"/>
      <c r="J18" s="9"/>
      <c r="K18" s="10"/>
      <c r="L18" s="10">
        <v>-3.18</v>
      </c>
      <c r="M18" s="11"/>
    </row>
    <row r="19" spans="1:13" x14ac:dyDescent="0.2">
      <c r="A19" s="12" t="s">
        <v>95</v>
      </c>
      <c r="B19" s="8" t="s">
        <v>83</v>
      </c>
      <c r="C19" s="8"/>
      <c r="D19" s="8"/>
      <c r="E19" s="8"/>
      <c r="F19" s="8"/>
      <c r="G19" s="8"/>
      <c r="H19" s="8"/>
      <c r="I19" s="8"/>
      <c r="J19" s="9"/>
      <c r="K19" s="13">
        <v>2.5999999999999998E-5</v>
      </c>
      <c r="L19" s="13"/>
    </row>
    <row r="20" spans="1:13" x14ac:dyDescent="0.2">
      <c r="A20" s="12" t="s">
        <v>50</v>
      </c>
      <c r="B20" s="8" t="s">
        <v>51</v>
      </c>
      <c r="C20" s="8">
        <v>2.59</v>
      </c>
      <c r="D20" s="8">
        <v>3.62</v>
      </c>
      <c r="E20" s="8">
        <v>4.95</v>
      </c>
      <c r="F20" s="8">
        <v>6.64</v>
      </c>
      <c r="G20" s="8">
        <v>8.7899999999999991</v>
      </c>
      <c r="H20" s="8">
        <v>14.9</v>
      </c>
      <c r="I20" s="8">
        <v>23.6</v>
      </c>
      <c r="J20" s="9">
        <v>38</v>
      </c>
      <c r="K20" s="10"/>
      <c r="L20" s="10">
        <v>-5.4</v>
      </c>
    </row>
    <row r="21" spans="1:13" x14ac:dyDescent="0.2">
      <c r="A21" s="12" t="s">
        <v>52</v>
      </c>
      <c r="B21" s="8" t="s">
        <v>53</v>
      </c>
      <c r="C21" s="8">
        <v>16.2</v>
      </c>
      <c r="D21" s="8">
        <v>16.399999999999999</v>
      </c>
      <c r="E21" s="8">
        <v>16.600000000000001</v>
      </c>
      <c r="F21" s="8">
        <v>16.8</v>
      </c>
      <c r="G21" s="8">
        <v>17.100000000000001</v>
      </c>
      <c r="H21" s="8">
        <v>17.5</v>
      </c>
      <c r="I21" s="8">
        <v>18</v>
      </c>
      <c r="J21" s="9">
        <v>18.399999999999999</v>
      </c>
      <c r="K21" s="10"/>
      <c r="L21" s="10"/>
    </row>
    <row r="22" spans="1:13" x14ac:dyDescent="0.2">
      <c r="A22" s="12" t="s">
        <v>54</v>
      </c>
      <c r="B22" s="8" t="s">
        <v>18</v>
      </c>
      <c r="C22" s="8">
        <v>59.5</v>
      </c>
      <c r="D22" s="8">
        <v>65</v>
      </c>
      <c r="E22" s="8">
        <v>74.5</v>
      </c>
      <c r="F22" s="8">
        <v>102</v>
      </c>
      <c r="G22" s="8"/>
      <c r="H22" s="8">
        <v>137</v>
      </c>
      <c r="I22" s="8">
        <v>147</v>
      </c>
      <c r="J22" s="9">
        <v>159</v>
      </c>
      <c r="K22" s="10"/>
      <c r="L22" s="10">
        <v>19.8</v>
      </c>
    </row>
    <row r="23" spans="1:13" x14ac:dyDescent="0.2">
      <c r="A23" s="12" t="s">
        <v>55</v>
      </c>
      <c r="B23" s="8" t="s">
        <v>8</v>
      </c>
      <c r="C23" s="8">
        <v>0.19</v>
      </c>
      <c r="D23" s="8">
        <v>0.18</v>
      </c>
      <c r="E23" s="8">
        <v>0.17</v>
      </c>
      <c r="F23" s="8">
        <v>0.15</v>
      </c>
      <c r="G23" s="8">
        <v>0.14000000000000001</v>
      </c>
      <c r="H23" s="8">
        <v>0.12</v>
      </c>
      <c r="I23" s="8">
        <v>0.09</v>
      </c>
      <c r="J23" s="9">
        <v>0.08</v>
      </c>
      <c r="K23" s="13">
        <v>6.4999999999999996E-6</v>
      </c>
      <c r="L23" s="13"/>
    </row>
    <row r="24" spans="1:13" x14ac:dyDescent="0.2">
      <c r="A24" s="12" t="s">
        <v>56</v>
      </c>
      <c r="B24" s="8" t="s">
        <v>19</v>
      </c>
      <c r="C24" s="8">
        <v>0.18</v>
      </c>
      <c r="D24" s="8">
        <v>0.19</v>
      </c>
      <c r="E24" s="8">
        <v>0.2</v>
      </c>
      <c r="F24" s="8">
        <v>0.21</v>
      </c>
      <c r="G24" s="8">
        <v>0.21</v>
      </c>
      <c r="H24" s="8">
        <v>0.2</v>
      </c>
      <c r="I24" s="8">
        <v>0.18</v>
      </c>
      <c r="J24" s="9">
        <v>0.16</v>
      </c>
      <c r="K24" s="13">
        <v>2.0000000000000001E-4</v>
      </c>
      <c r="L24" s="13">
        <v>5.2</v>
      </c>
    </row>
    <row r="25" spans="1:13" x14ac:dyDescent="0.2">
      <c r="A25" s="12" t="s">
        <v>56</v>
      </c>
      <c r="B25" s="8" t="s">
        <v>116</v>
      </c>
      <c r="C25" s="8"/>
      <c r="D25" s="8"/>
      <c r="E25" s="8"/>
      <c r="F25" s="8"/>
      <c r="G25" s="8"/>
      <c r="H25" s="8"/>
      <c r="I25" s="8"/>
      <c r="J25" s="9"/>
      <c r="K25" s="13"/>
      <c r="L25" s="13">
        <v>-0.18</v>
      </c>
      <c r="M25" s="11"/>
    </row>
    <row r="26" spans="1:13" x14ac:dyDescent="0.2">
      <c r="A26" s="12" t="s">
        <v>94</v>
      </c>
      <c r="B26" s="8" t="s">
        <v>26</v>
      </c>
      <c r="C26" s="8"/>
      <c r="D26" s="8"/>
      <c r="E26" s="8"/>
      <c r="F26" s="8"/>
      <c r="G26" s="8"/>
      <c r="H26" s="8"/>
      <c r="I26" s="8"/>
      <c r="J26" s="9"/>
      <c r="K26" s="13">
        <v>9.8999999999999993E-9</v>
      </c>
      <c r="L26" s="13"/>
    </row>
    <row r="27" spans="1:13" x14ac:dyDescent="0.2">
      <c r="A27" s="12" t="s">
        <v>242</v>
      </c>
      <c r="B27" s="8" t="s">
        <v>243</v>
      </c>
      <c r="C27" s="8"/>
      <c r="D27" s="8">
        <v>6.7000000000000002E-4</v>
      </c>
      <c r="E27" s="8">
        <v>5.5999999999999995E-4</v>
      </c>
      <c r="F27" s="8">
        <v>8.0000000000000004E-4</v>
      </c>
      <c r="G27" s="8">
        <v>9.5E-4</v>
      </c>
      <c r="H27" s="8">
        <v>1.4E-3</v>
      </c>
      <c r="I27" s="8"/>
      <c r="J27" s="9"/>
      <c r="K27" s="13"/>
      <c r="L27" s="13"/>
    </row>
    <row r="28" spans="1:13" ht="14.25" x14ac:dyDescent="0.2">
      <c r="A28" s="12" t="s">
        <v>57</v>
      </c>
      <c r="B28" s="8" t="s">
        <v>22</v>
      </c>
      <c r="C28" s="44">
        <v>27.6</v>
      </c>
      <c r="D28" s="44">
        <v>31</v>
      </c>
      <c r="E28" s="44">
        <v>34</v>
      </c>
      <c r="F28" s="44">
        <v>37</v>
      </c>
      <c r="G28" s="44">
        <v>40</v>
      </c>
      <c r="H28" s="44">
        <v>45.5</v>
      </c>
      <c r="I28" s="44">
        <v>51.1</v>
      </c>
      <c r="J28" s="45">
        <v>56.7</v>
      </c>
      <c r="K28" s="10"/>
      <c r="L28" s="10">
        <v>-4.4000000000000004</v>
      </c>
    </row>
    <row r="29" spans="1:13" x14ac:dyDescent="0.2">
      <c r="A29" s="12" t="s">
        <v>58</v>
      </c>
      <c r="B29" s="8" t="s">
        <v>25</v>
      </c>
      <c r="C29" s="8">
        <v>6.9</v>
      </c>
      <c r="D29" s="8">
        <v>8.1999999999999993</v>
      </c>
      <c r="E29" s="8">
        <v>9.6</v>
      </c>
      <c r="F29" s="8">
        <v>11.1</v>
      </c>
      <c r="G29" s="8">
        <v>12.7</v>
      </c>
      <c r="H29" s="8">
        <v>16.399999999999999</v>
      </c>
      <c r="I29" s="8"/>
      <c r="J29" s="9"/>
      <c r="K29" s="10"/>
      <c r="L29" s="10">
        <v>-6.3</v>
      </c>
    </row>
    <row r="30" spans="1:13" ht="14.25" x14ac:dyDescent="0.2">
      <c r="A30" s="12" t="s">
        <v>237</v>
      </c>
      <c r="B30" s="8" t="s">
        <v>108</v>
      </c>
      <c r="C30" s="44">
        <v>7.35</v>
      </c>
      <c r="D30" s="44">
        <v>9.2200000000000006</v>
      </c>
      <c r="E30" s="44">
        <v>11.11</v>
      </c>
      <c r="F30" s="44">
        <v>12.97</v>
      </c>
      <c r="G30" s="44">
        <v>14.76</v>
      </c>
      <c r="H30" s="44">
        <v>18.170000000000002</v>
      </c>
      <c r="I30" s="44">
        <v>21.4</v>
      </c>
      <c r="J30" s="45">
        <v>24.1</v>
      </c>
      <c r="K30" s="10"/>
      <c r="L30" s="10">
        <v>-4.2</v>
      </c>
      <c r="M30" s="11"/>
    </row>
    <row r="31" spans="1:13" x14ac:dyDescent="0.2">
      <c r="A31" s="12" t="s">
        <v>59</v>
      </c>
      <c r="B31" s="8" t="s">
        <v>38</v>
      </c>
      <c r="C31" s="8">
        <v>1.2</v>
      </c>
      <c r="D31" s="8">
        <v>1.8</v>
      </c>
      <c r="E31" s="8">
        <v>2.7</v>
      </c>
      <c r="F31" s="8">
        <v>3.9</v>
      </c>
      <c r="G31" s="8">
        <v>6</v>
      </c>
      <c r="H31" s="8">
        <v>20.3</v>
      </c>
      <c r="I31" s="8">
        <v>31.5</v>
      </c>
      <c r="J31" s="9">
        <v>52.5</v>
      </c>
      <c r="K31" s="10"/>
      <c r="L31" s="10">
        <v>10.3</v>
      </c>
    </row>
    <row r="32" spans="1:13" x14ac:dyDescent="0.2">
      <c r="A32" s="12" t="s">
        <v>59</v>
      </c>
      <c r="B32" s="8" t="s">
        <v>37</v>
      </c>
      <c r="C32" s="8"/>
      <c r="D32" s="8"/>
      <c r="E32" s="8"/>
      <c r="F32" s="8"/>
      <c r="G32" s="8"/>
      <c r="H32" s="8"/>
      <c r="I32" s="8"/>
      <c r="J32" s="9"/>
      <c r="K32" s="10"/>
      <c r="L32" s="10">
        <v>-25.8</v>
      </c>
      <c r="M32" s="11"/>
    </row>
    <row r="33" spans="1:13" x14ac:dyDescent="0.2">
      <c r="A33" s="12" t="s">
        <v>60</v>
      </c>
      <c r="B33" s="8" t="s">
        <v>28</v>
      </c>
      <c r="C33" s="8">
        <v>7.1</v>
      </c>
      <c r="D33" s="8">
        <v>12.5</v>
      </c>
      <c r="E33" s="8">
        <v>21.4</v>
      </c>
      <c r="F33" s="8">
        <v>38.799999999999997</v>
      </c>
      <c r="G33" s="8">
        <v>48.5</v>
      </c>
      <c r="H33" s="8">
        <v>46.4</v>
      </c>
      <c r="I33" s="8">
        <v>45.8</v>
      </c>
      <c r="J33" s="9">
        <v>45.5</v>
      </c>
      <c r="K33" s="10"/>
      <c r="L33" s="10">
        <v>5.6</v>
      </c>
    </row>
    <row r="34" spans="1:13" x14ac:dyDescent="0.2">
      <c r="A34" s="12" t="s">
        <v>61</v>
      </c>
      <c r="B34" s="8" t="s">
        <v>23</v>
      </c>
      <c r="C34" s="8">
        <v>35.6</v>
      </c>
      <c r="D34" s="8">
        <v>35.700000000000003</v>
      </c>
      <c r="E34" s="8">
        <v>35.799999999999997</v>
      </c>
      <c r="F34" s="8">
        <v>36.1</v>
      </c>
      <c r="G34" s="8">
        <v>36.4</v>
      </c>
      <c r="H34" s="8">
        <v>37.1</v>
      </c>
      <c r="I34" s="8">
        <v>38.1</v>
      </c>
      <c r="J34" s="9">
        <v>39.799999999999997</v>
      </c>
      <c r="K34" s="10"/>
      <c r="L34" s="10">
        <v>-0.93</v>
      </c>
    </row>
    <row r="35" spans="1:13" x14ac:dyDescent="0.2">
      <c r="A35" s="12" t="s">
        <v>13</v>
      </c>
      <c r="B35" s="8" t="s">
        <v>35</v>
      </c>
      <c r="C35" s="8">
        <v>42</v>
      </c>
      <c r="D35" s="8">
        <v>51.5</v>
      </c>
      <c r="E35" s="8">
        <v>109</v>
      </c>
      <c r="F35" s="8">
        <v>119</v>
      </c>
      <c r="G35" s="8">
        <v>129</v>
      </c>
      <c r="H35" s="8">
        <v>174</v>
      </c>
      <c r="I35" s="8"/>
      <c r="J35" s="9">
        <v>340</v>
      </c>
      <c r="K35" s="10"/>
      <c r="L35" s="10">
        <v>10.199999999999999</v>
      </c>
    </row>
    <row r="36" spans="1:13" ht="13.5" thickBot="1" x14ac:dyDescent="0.25">
      <c r="A36" s="14" t="s">
        <v>62</v>
      </c>
      <c r="B36" s="15" t="s">
        <v>10</v>
      </c>
      <c r="C36" s="15">
        <v>4.8</v>
      </c>
      <c r="D36" s="15">
        <v>9</v>
      </c>
      <c r="E36" s="15">
        <v>19.399999999999999</v>
      </c>
      <c r="F36" s="15">
        <v>40.799999999999997</v>
      </c>
      <c r="G36" s="15">
        <v>48.8</v>
      </c>
      <c r="H36" s="15">
        <v>45.3</v>
      </c>
      <c r="I36" s="15">
        <v>43.7</v>
      </c>
      <c r="J36" s="16">
        <v>42.5</v>
      </c>
      <c r="K36" s="17"/>
      <c r="L36" s="17">
        <v>0.28000000000000003</v>
      </c>
    </row>
    <row r="37" spans="1:13" ht="13.5" thickBot="1" x14ac:dyDescent="0.25">
      <c r="A37" s="14" t="s">
        <v>62</v>
      </c>
      <c r="B37" s="15" t="s">
        <v>14</v>
      </c>
      <c r="C37" s="128"/>
      <c r="D37" s="128"/>
      <c r="E37" s="128"/>
      <c r="F37" s="128"/>
      <c r="G37" s="128"/>
      <c r="H37" s="128"/>
      <c r="I37" s="128"/>
      <c r="J37" s="129"/>
      <c r="K37" s="130"/>
      <c r="L37" s="130">
        <v>-18.7</v>
      </c>
      <c r="M37" s="11"/>
    </row>
    <row r="38" spans="1:13" x14ac:dyDescent="0.2">
      <c r="A38" s="12" t="s">
        <v>134</v>
      </c>
      <c r="B38" s="8" t="s">
        <v>137</v>
      </c>
      <c r="C38" s="8">
        <v>12</v>
      </c>
      <c r="D38" s="8">
        <v>16</v>
      </c>
      <c r="E38" s="8">
        <v>21</v>
      </c>
      <c r="F38" s="8">
        <v>27</v>
      </c>
      <c r="G38" s="8">
        <v>35</v>
      </c>
      <c r="H38" s="8" t="s">
        <v>139</v>
      </c>
      <c r="I38" s="8"/>
      <c r="J38" s="9"/>
      <c r="K38" s="10"/>
      <c r="L38" s="10"/>
    </row>
    <row r="39" spans="1:13" x14ac:dyDescent="0.2">
      <c r="A39" s="12" t="s">
        <v>135</v>
      </c>
      <c r="B39" s="8" t="s">
        <v>123</v>
      </c>
      <c r="C39" s="8">
        <v>29.7</v>
      </c>
      <c r="D39" s="8">
        <v>33.4</v>
      </c>
      <c r="E39" s="8">
        <v>37.200000000000003</v>
      </c>
      <c r="F39" s="8">
        <v>41.4</v>
      </c>
      <c r="G39" s="8">
        <v>45.8</v>
      </c>
      <c r="H39" s="8">
        <v>55.2</v>
      </c>
      <c r="I39" s="8">
        <v>65.599999999999994</v>
      </c>
      <c r="J39" s="9">
        <v>77.3</v>
      </c>
      <c r="K39" s="10"/>
      <c r="L39" s="10">
        <v>-3.8</v>
      </c>
    </row>
    <row r="40" spans="1:13" x14ac:dyDescent="0.2">
      <c r="A40" s="12" t="s">
        <v>136</v>
      </c>
      <c r="B40" s="8" t="s">
        <v>138</v>
      </c>
      <c r="C40" s="8">
        <v>71</v>
      </c>
      <c r="D40" s="8">
        <v>73</v>
      </c>
      <c r="E40" s="8">
        <v>75.400000000000006</v>
      </c>
      <c r="F40" s="8">
        <v>78</v>
      </c>
      <c r="G40" s="8">
        <v>81</v>
      </c>
      <c r="H40" s="8">
        <v>88</v>
      </c>
      <c r="I40" s="8">
        <v>95.3</v>
      </c>
      <c r="J40" s="9">
        <v>103.3</v>
      </c>
      <c r="K40" s="10"/>
      <c r="L40" s="10">
        <v>-1.5</v>
      </c>
    </row>
    <row r="41" spans="1:13" x14ac:dyDescent="0.2">
      <c r="A41" s="12"/>
      <c r="B41" s="8"/>
      <c r="C41" s="8"/>
      <c r="D41" s="8"/>
      <c r="E41" s="8"/>
      <c r="F41" s="8"/>
      <c r="G41" s="8"/>
      <c r="H41" s="8"/>
      <c r="I41" s="8"/>
      <c r="J41" s="9"/>
      <c r="K41" s="10"/>
      <c r="L41" s="10"/>
    </row>
    <row r="42" spans="1:13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3" x14ac:dyDescent="0.2">
      <c r="C43" s="136"/>
      <c r="D43" s="136"/>
      <c r="E43" s="136"/>
      <c r="F43" s="136"/>
      <c r="G43" s="136"/>
      <c r="H43" s="136"/>
      <c r="I43" s="136"/>
      <c r="J43" s="136"/>
      <c r="K43" s="133"/>
      <c r="L43" s="133"/>
    </row>
    <row r="44" spans="1:13" x14ac:dyDescent="0.2">
      <c r="C44" s="133"/>
      <c r="D44" s="133"/>
      <c r="E44" s="133"/>
      <c r="F44" s="133"/>
      <c r="G44" s="133"/>
      <c r="H44" s="133"/>
      <c r="I44" s="133"/>
      <c r="J44" s="133"/>
      <c r="K44" s="133"/>
      <c r="L44" s="133"/>
    </row>
    <row r="45" spans="1:13" x14ac:dyDescent="0.2">
      <c r="C45" s="134"/>
      <c r="D45" s="134"/>
      <c r="E45" s="134"/>
      <c r="F45" s="134"/>
      <c r="G45" s="134"/>
      <c r="H45" s="134"/>
      <c r="I45" s="134"/>
      <c r="J45" s="134"/>
    </row>
    <row r="46" spans="1:13" x14ac:dyDescent="0.2">
      <c r="C46" s="135"/>
      <c r="D46" s="135"/>
      <c r="E46" s="135"/>
      <c r="F46" s="135"/>
      <c r="G46" s="135"/>
      <c r="H46" s="135"/>
      <c r="I46" s="135"/>
      <c r="J46" s="135"/>
    </row>
    <row r="85" spans="1:13" x14ac:dyDescent="0.2">
      <c r="M85" s="90"/>
    </row>
    <row r="86" spans="1:13" x14ac:dyDescent="0.2">
      <c r="M86" s="90"/>
    </row>
    <row r="90" spans="1:13" x14ac:dyDescent="0.2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</row>
    <row r="91" spans="1:13" x14ac:dyDescent="0.2">
      <c r="A91" s="302"/>
      <c r="B91" s="302"/>
      <c r="C91" s="90"/>
      <c r="D91" s="90"/>
      <c r="E91" s="90"/>
      <c r="F91" s="90"/>
      <c r="G91" s="90"/>
      <c r="H91" s="90"/>
      <c r="I91" s="90"/>
      <c r="J91" s="90"/>
      <c r="K91" s="90"/>
      <c r="L91" s="90"/>
    </row>
    <row r="92" spans="1:13" x14ac:dyDescent="0.2">
      <c r="A92" s="302"/>
      <c r="B92" s="302"/>
    </row>
  </sheetData>
  <mergeCells count="6">
    <mergeCell ref="A1:J1"/>
    <mergeCell ref="A91:A92"/>
    <mergeCell ref="B91:B92"/>
    <mergeCell ref="A2:A3"/>
    <mergeCell ref="B2:B3"/>
    <mergeCell ref="C2:J2"/>
  </mergeCells>
  <phoneticPr fontId="2" type="noConversion"/>
  <pageMargins left="0.78740157480314965" right="0.78740157480314965" top="0.98425196850393704" bottom="0.98425196850393704" header="0" footer="0"/>
  <pageSetup paperSize="9" scale="9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 de corrientes</vt:lpstr>
      <vt:lpstr>Tabla de equipos</vt:lpstr>
      <vt:lpstr>DataTable</vt:lpstr>
      <vt:lpstr>Solubilidad</vt:lpstr>
    </vt:vector>
  </TitlesOfParts>
  <Company>DIMI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Demetrio Humana</dc:creator>
  <cp:lastModifiedBy>Demetrio Humana</cp:lastModifiedBy>
  <cp:lastPrinted>2013-10-22T21:36:46Z</cp:lastPrinted>
  <dcterms:created xsi:type="dcterms:W3CDTF">2007-01-17T04:47:15Z</dcterms:created>
  <dcterms:modified xsi:type="dcterms:W3CDTF">2016-08-19T21:54:58Z</dcterms:modified>
</cp:coreProperties>
</file>